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ТСО'!$78:$80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Т-гор.вода'!$78:$80</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ТСО'!$81:$84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Т-гор.вода'!$81:$83</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ТСО'!$T$77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Т-гор.вода'!$V$77</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ТСО'!$CP$39</definedName>
    <definedName name="pIns_ver_HEAT_TARIFF_C">'ТС. Т-ТН'!$BZ$39</definedName>
    <definedName name="pIns_ver_HEAT_TARIFF_D">'ТС. Т-гор.вода'!$DA$43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ТСО'!$45:$74</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Т-гор.вода'!$51:$74</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ТСО'!$46:$73</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Т-гор.вода'!$52:$73</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ТСО'!$43:$76</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Т-гор.вода'!$49:$76</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ТСО'!$44:$75</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Т-гор.вода'!$50:$75</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ТСО'!$CP$78</definedName>
    <definedName name="tblEnd_1_TARIFF_B_COLDVSNA">'ХВС. Т-тех'!$AJ$54</definedName>
    <definedName name="tblEnd_1_TARIFF_B_HOTVSNA">'ГВС. Т-транс'!$AR$55</definedName>
    <definedName name="tblEnd_1_TARIFF_B_VOTV">'ВО. Т-транс'!$AJ$54</definedName>
    <definedName name="tblEnd_1_TARIFF_C">'ТС. Т-ТН'!$BZ$66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Т-гор.вода'!$DA$78</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<sst xmlns="http://schemas.openxmlformats.org/spreadsheetml/2006/main" count="10183" uniqueCount="2611">
  <si>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</si>
  <si>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</si>
  <si>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</si>
  <si>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</si>
  <si>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</si>
  <si>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</si>
  <si>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</si>
  <si>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</si>
  <si>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</si>
  <si>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</si>
  <si>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</si>
  <si>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</si>
  <si>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</si>
  <si>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26361181</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</si>
  <si>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</si>
  <si>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</si>
  <si>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</si>
  <si>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</si>
  <si>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</si>
  <si>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</si>
  <si>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</si>
  <si>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</si>
  <si>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</si>
  <si>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</si>
  <si>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</si>
  <si>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</si>
  <si>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</si>
  <si>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</si>
  <si>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</si>
  <si>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</si>
  <si>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</si>
  <si>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</si>
  <si>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</si>
  <si>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</si>
  <si>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</si>
  <si>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</si>
  <si>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</si>
  <si>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</si>
  <si>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</si>
  <si>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</si>
  <si>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</si>
  <si>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67</t>
  </si>
  <si>
    <t>Наименование органа регулирования, принявшего решение об утверждении тарифов</t>
  </si>
  <si>
    <t>УГРЦТ НАО</t>
  </si>
  <si>
    <t>Источник официального опубликования решения</t>
  </si>
  <si>
    <t>http://pravo.gov.ru</t>
  </si>
  <si>
    <t>Открывается, если Тип отчёта "изменения в раскрытой ранее информации"</t>
  </si>
  <si>
    <t>57</t>
  </si>
  <si>
    <t>Наименование органа регулирования, принявшего решение об изменении тарифов</t>
  </si>
  <si>
    <t>Нарьян-Марское МУ ПОКиТС</t>
  </si>
  <si>
    <t>Наименование (описание) обособленного подразделения</t>
  </si>
  <si>
    <t>ИНН</t>
  </si>
  <si>
    <t>8301020069</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</si>
  <si>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</si>
  <si>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</si>
  <si>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</si>
  <si>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</si>
  <si>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</si>
  <si>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</si>
  <si>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</si>
  <si>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</si>
  <si>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</si>
  <si>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</si>
  <si>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</si>
  <si>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</si>
  <si>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</si>
  <si>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</si>
  <si>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</si>
  <si>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</si>
  <si>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</si>
  <si>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</si>
  <si>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</si>
  <si>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</si>
  <si>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Нарьян-Мар, ул. Рабочая 18А</t>
  </si>
  <si>
    <t>Фамилия, имя, отчество руководителя</t>
  </si>
  <si>
    <t>Бетхер Наталья Николаевна</t>
  </si>
  <si>
    <t>Ответственный за заполнение формы</t>
  </si>
  <si>
    <t>Фамилия, имя, отчество</t>
  </si>
  <si>
    <t>Маркова Надежда Федоровна</t>
  </si>
  <si>
    <t>Должность</t>
  </si>
  <si>
    <t>экономист</t>
  </si>
  <si>
    <t>Контактный телефон</t>
  </si>
  <si>
    <t>8(81853)42920</t>
  </si>
  <si>
    <t>E-mail</t>
  </si>
  <si>
    <t>peopok2@mail.ru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</si>
  <si>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</si>
  <si>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</si>
  <si>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</si>
  <si>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</si>
  <si>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</si>
  <si>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</si>
  <si>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</si>
  <si>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</si>
  <si>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</si>
  <si>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</si>
  <si>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</si>
  <si>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</si>
  <si>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</si>
  <si>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</si>
  <si>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</si>
  <si>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</si>
  <si>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</si>
  <si>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t>
  </si>
  <si>
    <t>Городской округ "Город Нарьян-Мар"</t>
  </si>
  <si>
    <t>11851000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</si>
  <si>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</si>
  <si>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</si>
  <si>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</si>
  <si>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</si>
  <si>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</si>
  <si>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</si>
  <si>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</si>
  <si>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</si>
  <si>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</si>
  <si>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</si>
  <si>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</si>
  <si>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</si>
  <si>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</si>
  <si>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</si>
  <si>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</si>
  <si>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</si>
  <si>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</si>
  <si>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</si>
  <si>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</si>
  <si>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</si>
  <si>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</si>
  <si>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</si>
  <si>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</si>
  <si>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</si>
  <si>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</si>
  <si>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</si>
  <si>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</si>
  <si>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</si>
  <si>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</si>
  <si>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</si>
  <si>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</si>
  <si>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</si>
  <si>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</si>
  <si>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</si>
  <si>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</si>
  <si>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</si>
  <si>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</si>
  <si>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</si>
  <si>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</si>
  <si>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</si>
  <si>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</si>
  <si>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</si>
  <si>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</si>
  <si>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</si>
  <si>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</si>
  <si>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</si>
  <si>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</si>
  <si>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</si>
  <si>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</si>
  <si>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</si>
  <si>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</si>
  <si>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</si>
  <si>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</si>
  <si>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</si>
  <si>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</si>
  <si>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</si>
  <si>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</si>
  <si>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</si>
  <si>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</si>
  <si>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</si>
  <si>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</si>
  <si>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</si>
  <si>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</si>
  <si>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</si>
  <si>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</si>
  <si>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</si>
  <si>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</si>
  <si>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</si>
  <si>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</si>
  <si>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</si>
  <si>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</si>
  <si>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</si>
  <si>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</si>
  <si>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</si>
  <si>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</si>
  <si>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</si>
  <si>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</si>
  <si>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</si>
  <si>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 "4190069";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</si>
  <si>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</si>
  <si>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</si>
  <si>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</si>
  <si>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</si>
  <si>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</si>
  <si>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</si>
  <si>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</si>
  <si>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</si>
  <si>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</si>
  <si>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</si>
  <si>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</si>
  <si>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</si>
  <si>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</si>
  <si>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</si>
  <si>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</si>
  <si>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</si>
  <si>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</si>
  <si>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</si>
  <si>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</si>
  <si>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</si>
  <si>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</si>
  <si>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</si>
  <si>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</si>
  <si>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</si>
  <si>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</si>
  <si>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</si>
  <si>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</si>
  <si>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</si>
  <si>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</si>
  <si>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</si>
  <si>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</si>
  <si>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</si>
  <si>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</si>
  <si>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</si>
  <si>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</si>
  <si>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</si>
  <si>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</si>
  <si>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</si>
  <si>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</si>
  <si>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</si>
  <si>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</si>
  <si>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</si>
  <si>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</si>
  <si>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</si>
  <si>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</si>
  <si>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</si>
  <si>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</si>
  <si>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</si>
  <si>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</si>
  <si>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</si>
  <si>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</si>
  <si>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</si>
  <si>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</si>
  <si>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</si>
  <si>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</si>
  <si>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</si>
  <si>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</si>
  <si>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</si>
  <si>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</si>
  <si>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</si>
  <si>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</si>
  <si>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</si>
  <si>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</si>
  <si>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</si>
  <si>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</si>
  <si>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</si>
  <si>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</si>
  <si>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</si>
  <si>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</si>
  <si>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</si>
  <si>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</si>
  <si>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</si>
  <si>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</si>
  <si>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</si>
  <si>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</si>
  <si>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</si>
  <si>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</si>
  <si>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</si>
  <si>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</si>
  <si>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</si>
  <si>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</si>
  <si>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</si>
  <si>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</si>
  <si>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</si>
  <si>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</si>
  <si>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</si>
  <si>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</si>
  <si>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</si>
  <si>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</si>
  <si>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</si>
  <si>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</si>
  <si>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</si>
  <si>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</si>
  <si>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</si>
  <si>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</si>
  <si>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</si>
  <si>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</si>
  <si>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</si>
  <si>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</si>
  <si>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</si>
  <si>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</si>
  <si>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</si>
  <si>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</si>
  <si>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</si>
  <si>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</si>
  <si>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</si>
  <si>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</si>
  <si>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</si>
  <si>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</si>
  <si>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</si>
  <si>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</si>
  <si>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</si>
  <si>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</si>
  <si>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</si>
  <si>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</si>
  <si>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</si>
  <si>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</si>
  <si>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</si>
  <si>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</si>
  <si>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</si>
  <si>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</si>
  <si>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</si>
  <si>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</si>
  <si>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</si>
  <si>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</si>
  <si>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</si>
  <si>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</si>
  <si>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</si>
  <si>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</si>
  <si>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</si>
  <si>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</si>
  <si>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</si>
  <si>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</si>
  <si>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</si>
  <si>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</si>
  <si>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</si>
  <si>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</si>
  <si>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</si>
  <si>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</si>
  <si>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</si>
  <si>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</si>
  <si>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</si>
  <si>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</si>
  <si>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</si>
  <si>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</si>
  <si>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</si>
  <si>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</si>
  <si>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</si>
  <si>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</si>
  <si>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</si>
  <si>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</si>
  <si>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</si>
  <si>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</si>
  <si>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</si>
  <si>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</si>
  <si>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</si>
  <si>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</si>
  <si>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</si>
  <si>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</si>
  <si>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</si>
  <si>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</si>
  <si>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</si>
  <si>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</si>
  <si>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</si>
  <si>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</si>
  <si>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</si>
  <si>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</si>
  <si>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</si>
  <si>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</si>
  <si>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</si>
  <si>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</si>
  <si>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</si>
  <si>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</si>
  <si>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</si>
  <si>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</si>
  <si>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</si>
  <si>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</si>
  <si>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</si>
  <si>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</si>
  <si>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</si>
  <si>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</si>
  <si>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</si>
  <si>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</si>
  <si>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</si>
  <si>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</si>
  <si>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</si>
  <si>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</si>
  <si>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</si>
  <si>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</si>
  <si>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</si>
  <si>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</si>
  <si>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</si>
  <si>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</si>
  <si>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</si>
  <si>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</si>
  <si>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</si>
  <si>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</si>
  <si>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</si>
  <si>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</si>
  <si>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</si>
  <si>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</si>
  <si>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</si>
  <si>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</si>
  <si>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</si>
  <si>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</si>
  <si>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</si>
  <si>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</si>
  <si>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</si>
  <si>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</si>
  <si>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</si>
  <si>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</si>
  <si>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</si>
  <si>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</si>
  <si>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</si>
  <si>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</si>
  <si>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</si>
  <si>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</si>
  <si>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</si>
  <si>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</si>
  <si>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</si>
  <si>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</si>
  <si>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</si>
  <si>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</si>
  <si>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</si>
  <si>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</si>
  <si>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</si>
  <si>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</si>
  <si>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</si>
  <si>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</si>
  <si>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</si>
  <si>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</si>
  <si>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</si>
  <si>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</si>
  <si>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</si>
  <si>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</si>
  <si>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</si>
  <si>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</si>
  <si>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</si>
  <si>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</si>
  <si>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</si>
  <si>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</si>
  <si>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</si>
  <si>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</si>
  <si>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</si>
  <si>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</si>
  <si>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</si>
  <si>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</si>
  <si>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</si>
  <si>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</si>
  <si>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</si>
  <si>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</si>
  <si>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</si>
  <si>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</si>
  <si>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</si>
  <si>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</si>
  <si>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</si>
  <si>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</si>
  <si>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</si>
  <si>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</si>
  <si>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</si>
  <si>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</si>
  <si>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</si>
  <si>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</si>
  <si>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</si>
  <si>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</si>
  <si>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</si>
  <si>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</si>
  <si>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</si>
  <si>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</si>
  <si>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</si>
  <si>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</si>
  <si>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</si>
  <si>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тепловой сети без дополнительного преобразования на тепловых пунктах, эксплуатируемых теплоснабжающей организацией</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</si>
  <si>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</si>
  <si>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</si>
  <si>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</si>
  <si>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</si>
  <si>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</si>
  <si>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</si>
  <si>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</si>
  <si>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</si>
  <si>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</si>
  <si>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</si>
  <si>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</si>
  <si>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</si>
  <si>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</si>
  <si>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</si>
  <si>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</si>
  <si>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</si>
  <si>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</si>
  <si>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</si>
  <si>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</si>
  <si>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</si>
  <si>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</si>
  <si>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</si>
  <si>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</si>
  <si>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</si>
  <si>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</si>
  <si>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</si>
  <si>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</si>
  <si>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</si>
  <si>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</si>
  <si>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</si>
  <si>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</si>
  <si>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</si>
  <si>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</si>
  <si>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</si>
  <si>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обязательные мероприятия по подключению объектов заявителей</t>
  </si>
  <si>
    <t>0,285</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</si>
  <si>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</si>
  <si>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</si>
  <si>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</si>
  <si>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</si>
  <si>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</si>
  <si>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</si>
  <si>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</si>
  <si>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</si>
  <si>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</si>
  <si>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</si>
  <si>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</si>
  <si>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</si>
  <si>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</si>
  <si>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</si>
  <si>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</si>
  <si>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</si>
  <si>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</si>
  <si>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</si>
  <si>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</si>
  <si>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</si>
  <si>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</si>
  <si>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</si>
  <si>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</si>
  <si>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</si>
  <si>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</si>
  <si>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</si>
  <si>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</si>
  <si>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</si>
  <si>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</si>
  <si>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</si>
  <si>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</si>
  <si>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</si>
  <si>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</si>
  <si>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</si>
  <si>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</si>
  <si>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</si>
  <si>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</si>
  <si>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</si>
  <si>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</si>
  <si>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</si>
  <si>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</si>
  <si>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</si>
  <si>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</si>
  <si>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</si>
  <si>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</si>
  <si>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</si>
  <si>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</si>
  <si>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</si>
  <si>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</si>
  <si>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</si>
  <si>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</si>
  <si>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</si>
  <si>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</si>
  <si>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</si>
  <si>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</si>
  <si>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</si>
  <si>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</si>
  <si>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</si>
  <si>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</si>
  <si>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</si>
  <si>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</si>
  <si>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</si>
  <si>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</si>
  <si>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</si>
  <si>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</si>
  <si>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</si>
  <si>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</si>
  <si>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</si>
  <si>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</si>
  <si>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</si>
  <si>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</si>
  <si>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</si>
  <si>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</si>
  <si>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</si>
  <si>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</si>
  <si>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</si>
  <si>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</si>
  <si>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</si>
  <si>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</si>
  <si>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</si>
  <si>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</si>
  <si>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</si>
  <si>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</si>
  <si>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</si>
  <si>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</si>
  <si>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</si>
  <si>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</si>
  <si>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</si>
  <si>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</si>
  <si>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</si>
  <si>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</si>
  <si>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</si>
  <si>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</si>
  <si>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</si>
  <si>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</si>
  <si>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</si>
  <si>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</si>
  <si>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</si>
  <si>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</si>
  <si>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</si>
  <si>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</si>
  <si>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</si>
  <si>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</si>
  <si>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</si>
  <si>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</si>
  <si>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</si>
  <si>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</si>
  <si>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</si>
  <si>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</si>
  <si>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</si>
  <si>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</si>
  <si>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</si>
  <si>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</si>
  <si>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</si>
  <si>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</si>
  <si>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</si>
  <si>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</si>
  <si>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</si>
  <si>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</si>
  <si>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</si>
  <si>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</si>
  <si>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</si>
  <si>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</si>
  <si>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</si>
  <si>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</si>
  <si>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</si>
  <si>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</si>
  <si>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</si>
  <si>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</si>
  <si>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</si>
  <si>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</si>
  <si>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</si>
  <si>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</si>
  <si>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</si>
  <si>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</si>
  <si>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</si>
  <si>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</si>
  <si>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</si>
  <si>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</si>
  <si>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</si>
  <si>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</si>
  <si>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</si>
  <si>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</si>
  <si>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</si>
  <si>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</si>
  <si>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</si>
  <si>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</si>
  <si>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</si>
  <si>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</si>
  <si>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</si>
  <si>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</si>
  <si>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</si>
  <si>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</si>
  <si>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</si>
  <si>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</si>
  <si>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</si>
  <si>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</si>
  <si>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</si>
  <si>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</si>
  <si>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</si>
  <si>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</si>
  <si>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</si>
  <si>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</si>
  <si>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</si>
  <si>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</si>
  <si>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</si>
  <si>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</si>
  <si>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</si>
  <si>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</si>
  <si>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</si>
  <si>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</si>
  <si>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</si>
  <si>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</si>
  <si>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</si>
  <si>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</si>
  <si>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</si>
  <si>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</si>
  <si>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</si>
  <si>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</si>
  <si>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</si>
  <si>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</si>
  <si>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</si>
  <si>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</si>
  <si>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</si>
  <si>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</si>
  <si>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</si>
  <si>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</si>
  <si>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</si>
  <si>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</si>
  <si>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</si>
  <si>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</si>
  <si>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</si>
  <si>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</si>
  <si>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</si>
  <si>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</si>
  <si>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</si>
  <si>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</si>
  <si>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</si>
  <si>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</si>
  <si>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</si>
  <si>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</si>
  <si>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</si>
  <si>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</si>
  <si>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</si>
  <si>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</si>
  <si>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</si>
  <si>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</si>
  <si>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</si>
  <si>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</si>
  <si>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</si>
  <si>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</si>
  <si>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</si>
  <si>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</si>
  <si>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</si>
  <si>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</si>
  <si>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</si>
  <si>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</si>
  <si>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</si>
  <si>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</si>
  <si>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</si>
  <si>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</si>
  <si>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</si>
  <si>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</si>
  <si>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</si>
  <si>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</si>
  <si>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</si>
  <si>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</si>
  <si>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</si>
  <si>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</si>
  <si>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</si>
  <si>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</si>
  <si>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</si>
  <si>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</si>
  <si>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</si>
  <si>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</si>
  <si>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</si>
  <si>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</si>
  <si>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</si>
  <si>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</si>
  <si>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</si>
  <si>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</si>
  <si>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</si>
  <si>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</si>
  <si>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</si>
  <si>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</si>
  <si>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</si>
  <si>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</si>
  <si>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</si>
  <si>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</si>
  <si>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</si>
  <si>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</si>
  <si>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</si>
  <si>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</si>
  <si>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</si>
  <si>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</si>
  <si>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</si>
  <si>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</si>
  <si>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</si>
  <si>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</si>
  <si>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</si>
  <si>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</si>
  <si>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</si>
  <si>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</si>
  <si>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</si>
  <si>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</si>
  <si>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</si>
  <si>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</si>
  <si>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</si>
  <si>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</si>
  <si>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</si>
  <si>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</si>
  <si>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</si>
  <si>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</si>
  <si>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</si>
  <si>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</si>
  <si>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</si>
  <si>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</si>
  <si>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</si>
  <si>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</si>
  <si>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</si>
  <si>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</si>
  <si>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</si>
  <si>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</si>
  <si>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</si>
  <si>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</si>
  <si>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</si>
  <si>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</si>
  <si>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</si>
  <si>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</si>
  <si>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</si>
  <si>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</si>
  <si>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</si>
  <si>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</si>
  <si>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</si>
  <si>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</si>
  <si>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</si>
  <si>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</si>
  <si>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</si>
  <si>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</si>
  <si>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</si>
  <si>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</si>
  <si>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</si>
  <si>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</si>
  <si>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</si>
  <si>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</si>
  <si>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</si>
  <si>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</si>
  <si>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</si>
  <si>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</si>
  <si>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</si>
  <si>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</si>
  <si>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</si>
  <si>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</si>
  <si>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</si>
  <si>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</si>
  <si>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</si>
  <si>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</si>
  <si>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</si>
  <si>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</si>
  <si>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</si>
  <si>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</si>
  <si>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</si>
  <si>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</si>
  <si>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</si>
  <si>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</si>
  <si>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</si>
  <si>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</si>
  <si>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</si>
  <si>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</si>
  <si>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</si>
  <si>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</si>
  <si>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</si>
  <si>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</si>
  <si>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</si>
  <si>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</si>
  <si>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</si>
  <si>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</si>
  <si>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</si>
  <si>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</si>
  <si>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</si>
  <si>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</si>
  <si>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</si>
  <si>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</si>
  <si>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</si>
  <si>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</si>
  <si>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</si>
  <si>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</si>
  <si>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</si>
  <si>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</si>
  <si>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</si>
  <si>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</si>
  <si>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</si>
  <si>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</si>
  <si>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</si>
  <si>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</si>
  <si>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</si>
  <si>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</si>
  <si>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</si>
  <si>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</si>
  <si>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</si>
  <si>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</si>
  <si>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</si>
  <si>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</si>
  <si>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</si>
  <si>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</si>
  <si>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</si>
  <si>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</si>
  <si>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</si>
  <si>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</si>
  <si>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</si>
  <si>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</si>
  <si>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</si>
  <si>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</si>
  <si>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</si>
  <si>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</si>
  <si>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</si>
  <si>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</si>
  <si>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</si>
  <si>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</si>
  <si>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</si>
  <si>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</si>
  <si>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</si>
  <si>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</si>
  <si>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</si>
  <si>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</si>
  <si>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</si>
  <si>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</si>
  <si>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</si>
  <si>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</si>
  <si>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</si>
  <si>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</si>
  <si>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</si>
  <si>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</si>
  <si>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</si>
  <si>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</si>
  <si>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</si>
  <si>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</si>
  <si>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</si>
  <si>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</si>
  <si>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</si>
  <si>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</si>
  <si>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</si>
  <si>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</si>
  <si>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</si>
  <si>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</si>
  <si>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</si>
  <si>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</si>
  <si>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</si>
  <si>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</si>
  <si>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</si>
  <si>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</si>
  <si>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</si>
  <si>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</si>
  <si>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</si>
  <si>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</si>
  <si>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</si>
  <si>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</si>
  <si>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</si>
  <si>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</si>
  <si>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</si>
  <si>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</si>
  <si>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</si>
  <si>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</si>
  <si>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</si>
  <si>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</si>
  <si>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</si>
  <si>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</si>
  <si>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</si>
  <si>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</si>
  <si>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</si>
  <si>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</si>
  <si>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</si>
  <si>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</si>
  <si>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</si>
  <si>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</si>
  <si>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</si>
  <si>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</si>
  <si>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</si>
  <si>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</si>
  <si>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</si>
  <si>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</si>
  <si>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</si>
  <si>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</si>
  <si>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</si>
  <si>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</si>
  <si>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</si>
  <si>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</si>
  <si>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</si>
  <si>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</si>
  <si>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</si>
  <si>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</si>
  <si>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</si>
  <si>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</si>
  <si>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</si>
  <si>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</si>
  <si>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</si>
  <si>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</si>
  <si>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</si>
  <si>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</si>
  <si>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</si>
  <si>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</si>
  <si>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</si>
  <si>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</si>
  <si>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</si>
  <si>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</si>
  <si>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</si>
  <si>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</si>
  <si>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</si>
  <si>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</si>
  <si>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</si>
  <si>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</si>
  <si>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</si>
  <si>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</si>
  <si>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</si>
  <si>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</si>
  <si>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</si>
  <si>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</si>
  <si>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</si>
  <si>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</si>
  <si>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</si>
  <si>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</si>
  <si>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</si>
  <si>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</si>
  <si>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</si>
  <si>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</si>
  <si>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</si>
  <si>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</si>
  <si>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</si>
  <si>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</si>
  <si>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</si>
  <si>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</si>
  <si>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</si>
  <si>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</si>
  <si>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</si>
  <si>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</si>
  <si>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</si>
  <si>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</si>
  <si>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</si>
  <si>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</si>
  <si>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</si>
  <si>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</si>
  <si>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</si>
  <si>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</si>
  <si>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</si>
  <si>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</si>
  <si>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</si>
  <si>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</si>
  <si>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</si>
  <si>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</si>
  <si>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</si>
  <si>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</si>
  <si>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</si>
  <si>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</si>
  <si>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</si>
  <si>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</si>
  <si>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</si>
  <si>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</si>
  <si>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</si>
  <si>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</si>
  <si>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</si>
  <si>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</si>
  <si>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</si>
  <si>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</si>
  <si>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</si>
  <si>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</si>
  <si>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</si>
  <si>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</si>
  <si>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</si>
  <si>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</si>
  <si>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</si>
  <si>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</si>
  <si>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</si>
  <si>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</si>
  <si>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</si>
  <si>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</si>
  <si>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</si>
  <si>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</si>
  <si>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</si>
  <si>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</si>
  <si>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</si>
  <si>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</si>
  <si>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</si>
  <si>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</si>
  <si>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</si>
  <si>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</si>
  <si>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</si>
  <si>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</si>
  <si>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</si>
  <si>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</si>
  <si>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</si>
  <si>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</si>
  <si>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</si>
  <si>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</si>
  <si>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</si>
  <si>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</si>
  <si>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</si>
  <si>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</si>
  <si>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</si>
  <si>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</si>
  <si>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</si>
  <si>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</si>
  <si>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</si>
  <si>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</si>
  <si>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</si>
  <si>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</si>
  <si>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</si>
  <si>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</si>
  <si>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</si>
  <si>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</si>
  <si>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</si>
  <si>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</si>
  <si>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</si>
  <si>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</si>
  <si>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</si>
  <si>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</si>
  <si>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</si>
  <si>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</si>
  <si>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</si>
  <si>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</si>
  <si>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</si>
  <si>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</si>
  <si>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</si>
  <si>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</si>
  <si>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</si>
  <si>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</si>
  <si>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</si>
  <si>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</si>
  <si>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</si>
  <si>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</si>
  <si>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</si>
  <si>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</si>
  <si>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</si>
  <si>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</si>
  <si>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</si>
  <si>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</si>
  <si>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</si>
  <si>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</si>
  <si>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</si>
  <si>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</si>
  <si>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</si>
  <si>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</si>
  <si>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</si>
  <si>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</si>
  <si>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</si>
  <si>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</si>
  <si>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</si>
  <si>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</si>
  <si>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</si>
  <si>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</si>
  <si>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</si>
  <si>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</si>
  <si>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</si>
  <si>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</si>
  <si>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</si>
  <si>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</si>
  <si>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</si>
  <si>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</si>
  <si>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</si>
  <si>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</si>
  <si>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</si>
  <si>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</si>
  <si>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</si>
  <si>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</si>
  <si>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</si>
  <si>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</si>
  <si>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</si>
  <si>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</si>
  <si>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</si>
  <si>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</si>
  <si>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</si>
  <si>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</si>
  <si>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</si>
  <si>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</si>
  <si>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</si>
  <si>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</si>
  <si>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</si>
  <si>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</si>
  <si>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</si>
  <si>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</si>
  <si>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</si>
  <si>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</si>
  <si>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</si>
  <si>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</si>
  <si>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</si>
  <si>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</si>
  <si>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</si>
  <si>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</si>
  <si>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</si>
  <si>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</si>
  <si>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</si>
  <si>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</si>
  <si>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</si>
  <si>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</si>
  <si>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</si>
  <si>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</si>
  <si>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https://nmpokits.ru/consumers/reglament/</t>
  </si>
  <si>
    <t>https://portal.eias.ru/Portal/DownloadPage.aspx?type=12&amp;guid=599bf1f4-534c-4db4-a8ee-6fe7b3754e94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</si>
  <si>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</si>
  <si>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https://portal.eias.ru/Portal/DownloadPage.aspx?type=12&amp;guid=4dee7cc3-9059-411e-bfe1-2c178d4f7b3b</t>
  </si>
  <si>
    <t>бланк заявки</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</si>
  <si>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</si>
  <si>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№787 от 05.07.2018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</si>
  <si>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</si>
  <si>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</si>
  <si>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8(81853)40560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</si>
  <si>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</si>
  <si>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</si>
  <si>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Нарьян-Мар, ул. Рабочая 18А, инженерно-технический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</si>
  <si>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</si>
  <si>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</si>
  <si>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</si>
  <si>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</si>
  <si>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</si>
  <si>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</si>
  <si>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</si>
  <si>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</si>
  <si>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</si>
  <si>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</si>
  <si>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</si>
  <si>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</si>
  <si>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</si>
  <si>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</si>
  <si>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</si>
  <si>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</si>
  <si>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</si>
  <si>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</si>
  <si>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</si>
  <si>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</si>
  <si>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</si>
  <si>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</si>
  <si>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</si>
  <si>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</si>
  <si>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</si>
  <si>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</si>
  <si>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</si>
  <si>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</si>
  <si>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</si>
  <si>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</si>
  <si>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</si>
  <si>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</si>
  <si>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</si>
  <si>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</si>
  <si>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</si>
  <si>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</si>
  <si>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</si>
  <si>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</si>
  <si>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</si>
  <si>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</si>
  <si>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</si>
  <si>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</si>
  <si>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</si>
  <si>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</si>
  <si>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</si>
  <si>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</si>
  <si>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</si>
  <si>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</si>
  <si>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</si>
  <si>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</si>
  <si>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</si>
  <si>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</si>
  <si>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</si>
  <si>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</si>
  <si>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</si>
  <si>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</si>
  <si>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</si>
  <si>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</si>
  <si>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</si>
  <si>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</si>
  <si>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</si>
  <si>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</si>
  <si>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</si>
  <si>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</si>
  <si>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</si>
  <si>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</si>
  <si>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</si>
  <si>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</si>
  <si>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</si>
  <si>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</si>
  <si>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</si>
  <si>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</si>
  <si>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</si>
  <si>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</si>
  <si>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</si>
  <si>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</si>
  <si>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</si>
  <si>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</si>
  <si>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</si>
  <si>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</si>
  <si>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</si>
  <si>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</si>
  <si>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</si>
  <si>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</si>
  <si>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</si>
  <si>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</si>
  <si>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</si>
  <si>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</si>
  <si>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</si>
  <si>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</si>
  <si>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</si>
  <si>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</si>
  <si>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</si>
  <si>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</si>
  <si>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</si>
  <si>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</si>
  <si>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</si>
  <si>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</si>
  <si>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</si>
  <si>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</si>
  <si>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</si>
  <si>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</si>
  <si>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</si>
  <si>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</si>
  <si>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</si>
  <si>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</si>
  <si>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</si>
  <si>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</si>
  <si>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</si>
  <si>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</si>
  <si>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</si>
  <si>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</si>
  <si>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</si>
  <si>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</si>
  <si>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</si>
  <si>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</si>
  <si>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</si>
  <si>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</si>
  <si>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</si>
  <si>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</si>
  <si>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</si>
  <si>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</si>
  <si>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</si>
  <si>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</si>
  <si>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</si>
  <si>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</si>
  <si>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</si>
  <si>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</si>
  <si>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</si>
  <si>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</si>
  <si>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</si>
  <si>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</si>
  <si>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</si>
  <si>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</si>
  <si>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</si>
  <si>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</si>
  <si>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</si>
  <si>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</si>
  <si>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</si>
  <si>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</si>
  <si>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</si>
  <si>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</si>
  <si>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</si>
  <si>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</si>
  <si>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</si>
  <si>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</si>
  <si>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</si>
  <si>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</si>
  <si>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</si>
  <si>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</si>
  <si>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</si>
  <si>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</si>
  <si>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</si>
  <si>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</si>
  <si>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</si>
  <si>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</si>
  <si>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</si>
  <si>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</si>
  <si>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</si>
  <si>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</si>
  <si>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</si>
  <si>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</si>
  <si>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</si>
  <si>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</si>
  <si>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</si>
  <si>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</si>
  <si>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</si>
  <si>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</si>
  <si>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</si>
  <si>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</si>
  <si>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</si>
  <si>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</si>
  <si>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</si>
  <si>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</si>
  <si>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</si>
  <si>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</si>
  <si>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</si>
  <si>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</si>
  <si>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</si>
  <si>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</si>
  <si>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</si>
  <si>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</si>
  <si>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</si>
  <si>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</si>
  <si>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</si>
  <si>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</si>
  <si>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</si>
  <si>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</si>
  <si>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</si>
  <si>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</si>
  <si>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</si>
  <si>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</si>
  <si>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</si>
  <si>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</si>
  <si>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</si>
  <si>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</si>
  <si>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</si>
  <si>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</si>
  <si>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</si>
  <si>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</si>
  <si>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</si>
  <si>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</si>
  <si>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</si>
  <si>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</si>
  <si>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</si>
  <si>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</si>
  <si>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</si>
  <si>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</si>
  <si>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</si>
  <si>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</si>
  <si>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</si>
  <si>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</si>
  <si>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</si>
  <si>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</si>
  <si>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</si>
  <si>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</si>
  <si>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</si>
  <si>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</si>
  <si>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</si>
  <si>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</si>
  <si>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</si>
  <si>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</si>
  <si>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</si>
  <si>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</si>
  <si>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</si>
  <si>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</si>
  <si>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</si>
  <si>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</si>
  <si>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</si>
  <si>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</si>
  <si>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</si>
  <si>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</si>
  <si>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</si>
  <si>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</si>
  <si>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</si>
  <si>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</si>
  <si>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</si>
  <si>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</si>
  <si>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</si>
  <si>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</si>
  <si>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</si>
  <si>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</si>
  <si>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</si>
  <si>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</si>
  <si>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</si>
  <si>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</si>
  <si>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</si>
  <si>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</si>
  <si>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</si>
  <si>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</si>
  <si>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</si>
  <si>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</si>
  <si>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</si>
  <si>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</si>
  <si>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</si>
  <si>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</si>
  <si>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</si>
  <si>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</si>
  <si>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</si>
  <si>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</si>
  <si>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</si>
  <si>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</si>
  <si>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</si>
  <si>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</si>
  <si>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</si>
  <si>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</si>
  <si>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</si>
  <si>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</si>
  <si>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</si>
  <si>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</si>
  <si>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</si>
  <si>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</si>
  <si>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</si>
  <si>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</si>
  <si>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</si>
  <si>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</si>
  <si>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</si>
  <si>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</si>
  <si>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</si>
  <si>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</si>
  <si>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</si>
  <si>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</si>
  <si>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</si>
  <si>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</si>
  <si>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</si>
  <si>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</si>
  <si>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</si>
  <si>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</si>
  <si>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</si>
  <si>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</si>
  <si>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</si>
  <si>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</si>
  <si>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</si>
  <si>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</si>
  <si>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</si>
  <si>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</si>
  <si>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</si>
  <si>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</si>
  <si>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</si>
  <si>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</si>
  <si>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</si>
  <si>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</si>
  <si>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</si>
  <si>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</si>
  <si>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</si>
  <si>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</si>
  <si>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</si>
  <si>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</si>
  <si>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</si>
  <si>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</si>
  <si>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</si>
  <si>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</si>
  <si>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</si>
  <si>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</si>
  <si>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</si>
  <si>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</si>
  <si>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</si>
  <si>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</si>
  <si>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</si>
  <si>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</si>
  <si>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</si>
  <si>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</si>
  <si>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</si>
  <si>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</si>
  <si>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</si>
  <si>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</si>
  <si>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</si>
  <si>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</si>
  <si>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</si>
  <si>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</si>
  <si>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</si>
  <si>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</si>
  <si>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</si>
  <si>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</si>
  <si>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</si>
  <si>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</si>
  <si>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</si>
  <si>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</si>
  <si>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</si>
  <si>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</si>
  <si>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</si>
  <si>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</si>
  <si>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</si>
  <si>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</si>
  <si>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</si>
  <si>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</si>
  <si>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</si>
  <si>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</si>
  <si>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</si>
  <si>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</si>
  <si>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</si>
  <si>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</si>
  <si>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</si>
  <si>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</si>
  <si>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</si>
  <si>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</si>
  <si>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</si>
  <si>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</si>
  <si>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</si>
  <si>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</si>
  <si>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</si>
  <si>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</si>
  <si>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</si>
  <si>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</si>
  <si>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</si>
  <si>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</si>
  <si>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</si>
  <si>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</si>
  <si>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</si>
  <si>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</si>
  <si>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</si>
  <si>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</si>
  <si>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</si>
  <si>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</si>
  <si>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</si>
  <si>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</si>
  <si>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</si>
  <si>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</si>
  <si>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</si>
  <si>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</si>
  <si>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</si>
  <si>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</si>
  <si>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</si>
  <si>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</si>
  <si>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</si>
  <si>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</si>
  <si>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</si>
  <si>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</si>
  <si>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</si>
  <si>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</si>
  <si>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</si>
  <si>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</si>
  <si>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</si>
  <si>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</si>
  <si>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</si>
  <si>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</si>
  <si>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</si>
  <si>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</si>
  <si>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</si>
  <si>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</si>
  <si>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</si>
  <si>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</si>
  <si>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</si>
  <si>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</si>
  <si>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</si>
  <si>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</si>
  <si>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</si>
  <si>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</si>
  <si>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</si>
  <si>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</si>
  <si>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</si>
  <si>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</si>
  <si>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</si>
  <si>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</si>
  <si>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</si>
  <si>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</si>
  <si>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</si>
  <si>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</si>
  <si>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</si>
  <si>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</si>
  <si>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</si>
  <si>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</si>
  <si>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</si>
  <si>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</si>
  <si>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</si>
  <si>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</si>
  <si>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</si>
  <si>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</si>
  <si>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</si>
  <si>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</si>
  <si>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</si>
  <si>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</si>
  <si>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</si>
  <si>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</si>
  <si>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</si>
  <si>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</si>
  <si>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</si>
  <si>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</si>
  <si>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</si>
  <si>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</si>
  <si>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</si>
  <si>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</si>
  <si>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</si>
  <si>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</si>
  <si>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</si>
  <si>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</si>
  <si>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</si>
  <si>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</si>
  <si>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</si>
  <si>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</si>
  <si>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</si>
  <si>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</si>
  <si>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</si>
  <si>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</si>
  <si>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</si>
  <si>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</si>
  <si>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</si>
  <si>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</si>
  <si>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</si>
  <si>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</si>
  <si>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</si>
  <si>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</si>
  <si>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</si>
  <si>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</si>
  <si>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</si>
  <si>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</si>
  <si>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</si>
  <si>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</si>
  <si>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</si>
  <si>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</si>
  <si>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</si>
  <si>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</si>
  <si>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</si>
  <si>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</si>
  <si>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</si>
  <si>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</si>
  <si>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</si>
  <si>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</si>
  <si>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</si>
  <si>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</si>
  <si>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</si>
  <si>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</si>
  <si>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</si>
  <si>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</si>
  <si>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</si>
  <si>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</si>
  <si>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</si>
  <si>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</si>
  <si>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</si>
  <si>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</si>
  <si>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</si>
  <si>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</si>
  <si>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</si>
  <si>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</si>
  <si>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</si>
  <si>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</si>
  <si>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</si>
  <si>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</si>
  <si>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</si>
  <si>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</si>
  <si>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</si>
  <si>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</si>
  <si>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</si>
  <si>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</si>
  <si>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</si>
  <si>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</si>
  <si>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</si>
  <si>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</si>
  <si>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</si>
  <si>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</si>
  <si>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</si>
  <si>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</si>
  <si>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</si>
  <si>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</si>
  <si>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</si>
  <si>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</si>
  <si>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</si>
  <si>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</si>
  <si>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</si>
  <si>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</si>
  <si>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</si>
  <si>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</si>
  <si>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</si>
  <si>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</si>
  <si>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</si>
  <si>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</si>
  <si>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</si>
  <si>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</si>
  <si>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</si>
  <si>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</si>
  <si>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</si>
  <si>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</si>
  <si>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</si>
  <si>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</si>
  <si>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</si>
  <si>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</si>
  <si>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</si>
  <si>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</si>
  <si>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</si>
  <si>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</si>
  <si>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</si>
  <si>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</si>
  <si>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</si>
  <si>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</si>
  <si>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</si>
  <si>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</si>
  <si>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</si>
  <si>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</si>
  <si>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</si>
  <si>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</si>
  <si>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</si>
  <si>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</si>
  <si>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</si>
  <si>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</si>
  <si>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</si>
  <si>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</si>
  <si>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</si>
  <si>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</si>
  <si>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</si>
  <si>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</si>
  <si>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</si>
  <si>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</si>
  <si>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</si>
  <si>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</si>
  <si>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</si>
  <si>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</si>
  <si>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</si>
  <si>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</si>
  <si>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</si>
  <si>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</si>
  <si>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</si>
  <si>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</si>
  <si>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</si>
  <si>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</si>
  <si>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</si>
  <si>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</si>
  <si>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</si>
  <si>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</si>
  <si>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</si>
  <si>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</si>
  <si>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</si>
  <si>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</si>
  <si>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</si>
  <si>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</si>
  <si>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</si>
  <si>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</si>
  <si>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</si>
  <si>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</si>
  <si>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</si>
  <si>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</si>
  <si>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</si>
  <si>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</si>
  <si>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</si>
  <si>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</si>
  <si>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</si>
  <si>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</si>
  <si>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</si>
  <si>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</si>
  <si>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</si>
  <si>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</si>
  <si>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</si>
  <si>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</si>
  <si>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</si>
  <si>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</si>
  <si>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</si>
  <si>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</si>
  <si>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</si>
  <si>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</si>
  <si>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</si>
  <si>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</si>
  <si>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</si>
  <si>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</si>
  <si>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</si>
  <si>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</si>
  <si>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</si>
  <si>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</si>
  <si>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</si>
  <si>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</si>
  <si>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</si>
  <si>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</si>
  <si>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</si>
  <si>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</si>
  <si>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</si>
  <si>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</si>
  <si>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</si>
  <si>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</si>
  <si>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</si>
  <si>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</si>
  <si>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</si>
  <si>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</si>
  <si>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</si>
  <si>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</si>
  <si>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</si>
  <si>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</si>
  <si>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</si>
  <si>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</si>
  <si>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</si>
  <si>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</si>
  <si>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</si>
  <si>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</si>
  <si>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</si>
  <si>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</si>
  <si>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</si>
  <si>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</si>
  <si>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</si>
  <si>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</si>
  <si>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</si>
  <si>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</si>
  <si>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</si>
  <si>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</si>
  <si>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</si>
  <si>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</si>
  <si>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</si>
  <si>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</si>
  <si>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</si>
  <si>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</si>
  <si>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</si>
  <si>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</si>
  <si>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</si>
  <si>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</si>
  <si>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</si>
  <si>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</si>
  <si>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</si>
  <si>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</si>
  <si>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</si>
  <si>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</si>
  <si>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</si>
  <si>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</si>
  <si>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</si>
  <si>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</si>
  <si>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</si>
  <si>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</si>
  <si>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</si>
  <si>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</si>
  <si>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</si>
  <si>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</si>
  <si>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</si>
  <si>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</si>
  <si>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</si>
  <si>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</si>
  <si>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</si>
  <si>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</si>
  <si>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</si>
  <si>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</si>
  <si>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</si>
  <si>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</si>
  <si>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</si>
  <si>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</si>
  <si>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</si>
  <si>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</si>
  <si>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</si>
  <si>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</si>
  <si>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</si>
  <si>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</si>
  <si>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</si>
  <si>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</si>
  <si>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</si>
  <si>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</si>
  <si>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</si>
  <si>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</si>
  <si>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</si>
  <si>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</si>
  <si>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</si>
  <si>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</si>
  <si>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</si>
  <si>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</si>
  <si>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</si>
  <si>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</si>
  <si>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</si>
  <si>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</si>
  <si>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</si>
  <si>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</si>
  <si>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</si>
  <si>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</si>
  <si>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</si>
  <si>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</si>
  <si>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</si>
  <si>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</si>
  <si>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</si>
  <si>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</si>
  <si>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</si>
  <si>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</si>
  <si>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</si>
  <si>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</si>
  <si>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</si>
  <si>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</si>
  <si>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</si>
  <si>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</si>
  <si>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</si>
  <si>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</si>
  <si>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</si>
  <si>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</si>
  <si>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</si>
  <si>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</si>
  <si>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</si>
  <si>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</si>
  <si>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</si>
  <si>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</si>
  <si>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</si>
  <si>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</si>
  <si>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</si>
  <si>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</si>
  <si>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</si>
  <si>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</si>
  <si>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</si>
  <si>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</si>
  <si>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</si>
  <si>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</si>
  <si>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</si>
  <si>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</si>
  <si>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</si>
  <si>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</si>
  <si>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</si>
  <si>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</si>
  <si>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</si>
  <si>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</si>
  <si>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</si>
  <si>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</si>
  <si>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</si>
  <si>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</si>
  <si>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</si>
  <si>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</si>
  <si>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</si>
  <si>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</si>
  <si>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</si>
  <si>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</si>
  <si>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</si>
  <si>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</si>
  <si>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</si>
  <si>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</si>
  <si>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</si>
  <si>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</si>
  <si>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</si>
  <si>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</si>
  <si>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</si>
  <si>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</si>
  <si>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</si>
  <si>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</si>
  <si>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</si>
  <si>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</si>
  <si>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</si>
  <si>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</si>
  <si>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</si>
  <si>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</si>
  <si>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</si>
  <si>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</si>
  <si>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</si>
  <si>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</si>
  <si>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</si>
  <si>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</si>
  <si>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</si>
  <si>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</si>
  <si>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</si>
  <si>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</si>
  <si>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</si>
  <si>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</si>
  <si>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</si>
  <si>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</si>
  <si>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</si>
  <si>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</si>
  <si>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</si>
  <si>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</si>
  <si>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</si>
  <si>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</si>
  <si>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</si>
  <si>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</si>
  <si>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</si>
  <si>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</si>
  <si>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</si>
  <si>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</si>
  <si>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</si>
  <si>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</si>
  <si>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</si>
  <si>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</si>
  <si>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</si>
  <si>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</si>
  <si>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</si>
  <si>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</si>
  <si>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</si>
  <si>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</si>
  <si>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</si>
  <si>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</si>
  <si>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</si>
  <si>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</si>
  <si>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</si>
  <si>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</si>
  <si>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</si>
  <si>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</si>
  <si>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</si>
  <si>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</si>
  <si>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</si>
  <si>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</si>
  <si>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</si>
  <si>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</si>
  <si>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</si>
  <si>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</si>
  <si>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</si>
  <si>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</si>
  <si>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</si>
  <si>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</si>
  <si>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</si>
  <si>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</si>
  <si>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</si>
  <si>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</si>
  <si>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</si>
  <si>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</si>
  <si>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</si>
  <si>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</si>
  <si>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</si>
  <si>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</si>
  <si>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</si>
  <si>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</si>
  <si>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</si>
  <si>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</si>
  <si>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</si>
  <si>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</si>
  <si>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</si>
  <si>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</si>
  <si>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</si>
  <si>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</si>
  <si>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</si>
  <si>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</si>
  <si>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</si>
  <si>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</si>
  <si>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</si>
  <si>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</si>
  <si>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</si>
  <si>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</si>
  <si>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</si>
  <si>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</si>
  <si>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</si>
  <si>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</si>
  <si>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</si>
  <si>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</si>
  <si>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</si>
  <si>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</si>
  <si>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</si>
  <si>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</si>
  <si>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</si>
  <si>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</si>
  <si>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</si>
  <si>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</si>
  <si>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</si>
  <si>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</si>
  <si>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</si>
  <si>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</si>
  <si>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</si>
  <si>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</si>
  <si>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</si>
  <si>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</si>
  <si>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</si>
  <si>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</si>
  <si>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</si>
  <si>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</si>
  <si>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</si>
  <si>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</si>
  <si>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</si>
  <si>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</si>
  <si>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</si>
  <si>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</si>
  <si>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</si>
  <si>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</si>
  <si>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</si>
  <si>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</si>
  <si>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</si>
  <si>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</si>
  <si>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</si>
  <si>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</si>
  <si>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</si>
  <si>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</si>
  <si>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</si>
  <si>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</si>
  <si>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</si>
  <si>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</si>
  <si>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</si>
  <si>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</si>
  <si>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</si>
  <si>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</si>
  <si>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</si>
  <si>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</si>
  <si>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</si>
  <si>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</si>
  <si>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</si>
  <si>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</si>
  <si>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</si>
  <si>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</si>
  <si>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</si>
  <si>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</si>
  <si>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</si>
  <si>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</si>
  <si>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</si>
  <si>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</si>
  <si>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</si>
  <si>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</si>
  <si>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</si>
  <si>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</si>
  <si>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</si>
  <si>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</si>
  <si>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</si>
  <si>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</si>
  <si>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</si>
  <si>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</si>
  <si>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</si>
  <si>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</si>
  <si>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</si>
  <si>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</si>
  <si>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</si>
  <si>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</si>
  <si>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</si>
  <si>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</si>
  <si>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</si>
  <si>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</si>
  <si>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</si>
  <si>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</si>
  <si>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</si>
  <si>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</si>
  <si>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</si>
  <si>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</si>
  <si>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</si>
  <si>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</si>
  <si>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</si>
  <si>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</si>
  <si>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</si>
  <si>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</si>
  <si>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</si>
  <si>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</si>
  <si>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</si>
  <si>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</si>
  <si>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</si>
  <si>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</si>
  <si>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</si>
  <si>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</si>
  <si>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</si>
  <si>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</si>
  <si>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</si>
  <si>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</si>
  <si>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</si>
  <si>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</si>
  <si>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</si>
  <si>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</si>
  <si>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</si>
  <si>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</si>
  <si>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</si>
  <si>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</si>
  <si>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</si>
  <si>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</si>
  <si>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</si>
  <si>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</si>
  <si>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</si>
  <si>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</si>
  <si>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</si>
  <si>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</si>
  <si>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</si>
  <si>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</si>
  <si>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</si>
  <si>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</si>
  <si>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</si>
  <si>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</si>
  <si>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</si>
  <si>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</si>
  <si>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</si>
  <si>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</si>
  <si>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</si>
  <si>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</si>
  <si>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</si>
  <si>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</si>
  <si>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</si>
  <si>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</si>
  <si>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</si>
  <si>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</si>
  <si>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</si>
  <si>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</si>
  <si>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</si>
  <si>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</si>
  <si>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</si>
  <si>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</si>
  <si>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</si>
  <si>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</si>
  <si>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</si>
  <si>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</si>
  <si>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</si>
  <si>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</si>
  <si>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</si>
  <si>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</si>
  <si>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</si>
  <si>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</si>
  <si>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</si>
  <si>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</si>
  <si>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</si>
  <si>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</si>
  <si>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</si>
  <si>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</si>
  <si>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</si>
  <si>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</si>
  <si>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</si>
  <si>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</si>
  <si>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</si>
  <si>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</si>
  <si>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</si>
  <si>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</si>
  <si>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</si>
  <si>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</si>
  <si>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</si>
  <si>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</si>
  <si>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</si>
  <si>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</si>
  <si>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</si>
  <si>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</si>
  <si>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</si>
  <si>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</si>
  <si>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</si>
  <si>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</si>
  <si>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</si>
  <si>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</si>
  <si>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</si>
  <si>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</si>
  <si>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</si>
  <si>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</si>
  <si>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</si>
  <si>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</si>
  <si>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</si>
  <si>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</si>
  <si>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</si>
  <si>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</si>
  <si>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</si>
  <si>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</si>
  <si>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</si>
  <si>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</si>
  <si>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</si>
  <si>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</si>
  <si>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</si>
  <si>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</si>
  <si>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</si>
  <si>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</si>
  <si>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</si>
  <si>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</si>
  <si>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</si>
  <si>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</si>
  <si>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</si>
  <si>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</si>
  <si>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</si>
  <si>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</si>
  <si>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</si>
  <si>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</si>
  <si>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</si>
  <si>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</si>
  <si>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</si>
  <si>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</si>
  <si>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</si>
  <si>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</si>
  <si>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</si>
  <si>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</si>
  <si>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</si>
  <si>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</si>
  <si>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</si>
  <si>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</si>
  <si>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</si>
  <si>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</si>
  <si>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</si>
  <si>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</si>
  <si>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</si>
  <si>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</si>
  <si>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</si>
  <si>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</si>
  <si>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</si>
  <si>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</si>
  <si>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</si>
  <si>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</si>
  <si>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</si>
  <si>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</si>
  <si>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ИМУП «ПОСЖИЛКОМСЕРВИС»</t>
  </si>
  <si>
    <t>2983013920</t>
  </si>
  <si>
    <t>26468919</t>
  </si>
  <si>
    <t>МП ЗР "Севержилкомсервис"</t>
  </si>
  <si>
    <t>8300010685</t>
  </si>
  <si>
    <t>26371616</t>
  </si>
  <si>
    <t>МУП "Коммунальщик" МО "Приморско-Куйский сельсовет"</t>
  </si>
  <si>
    <t>2983006962</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</si>
  <si>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</si>
  <si>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</si>
  <si>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</si>
  <si>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</si>
  <si>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</si>
  <si>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</si>
  <si>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</si>
  <si>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</si>
  <si>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</si>
  <si>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</si>
  <si>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</si>
  <si>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</si>
  <si>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</si>
  <si>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</si>
  <si>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</si>
  <si>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</si>
  <si>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</si>
  <si>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</si>
  <si>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</si>
  <si>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</si>
  <si>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</si>
  <si>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</si>
  <si>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</si>
  <si>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</si>
  <si>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</si>
  <si>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</si>
  <si>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</si>
  <si>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</si>
  <si>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</si>
  <si>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</si>
  <si>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</si>
  <si>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</si>
  <si>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</si>
  <si>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</si>
  <si>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</si>
  <si>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</si>
  <si>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</si>
  <si>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</si>
  <si>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</si>
  <si>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</si>
  <si>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</si>
  <si>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</si>
  <si>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</si>
  <si>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</si>
  <si>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</si>
  <si>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</si>
  <si>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</si>
  <si>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</si>
  <si>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</si>
  <si>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</si>
  <si>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</si>
  <si>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</si>
  <si>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</si>
  <si>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</si>
  <si>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</si>
  <si>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</si>
  <si>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</si>
  <si>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</si>
  <si>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</si>
  <si>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</si>
  <si>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</si>
  <si>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</si>
  <si>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</si>
  <si>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</si>
  <si>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</si>
  <si>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"Заполярный район"</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</si>
  <si>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</si>
  <si>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</si>
  <si>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</si>
  <si>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</si>
  <si>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</si>
  <si>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</si>
  <si>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</si>
  <si>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</si>
  <si>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</si>
  <si>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</si>
  <si>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</si>
  <si>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</si>
  <si>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</si>
  <si>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</si>
  <si>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</si>
  <si>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</si>
  <si>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</si>
  <si>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</si>
  <si>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</si>
  <si>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</si>
  <si>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</si>
  <si>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</si>
  <si>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</si>
  <si>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</si>
  <si>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</si>
  <si>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</si>
  <si>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</si>
  <si>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</si>
  <si>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</si>
  <si>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</si>
  <si>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Рабочий поселок Искателей</t>
  </si>
  <si>
    <t>11811111</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</si>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</sst>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1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40"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http://pravo.gov.ru" TargetMode="External"/><Relationship Id="rId6" Type="http://schemas.openxmlformats.org/officeDocument/2006/relationships/hyperlink" Target="mailto:peopok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nmpokits.ru/consumers/reglament/" TargetMode="External"/><Relationship Id="rId3" Type="http://schemas.openxmlformats.org/officeDocument/2006/relationships/hyperlink" Target="https://portal.eias.ru/Portal/DownloadPage.aspx?type=12&amp;guid=599bf1f4-534c-4db4-a8ee-6fe7b3754e94" TargetMode="External"/><Relationship Id="rId4" Type="http://schemas.openxmlformats.org/officeDocument/2006/relationships/hyperlink" Target="https://portal.eias.ru/Portal/DownloadPage.aspx?type=12&amp;guid=4dee7cc3-9059-411e-bfe1-2c178d4f7b3b" TargetMode="External"/><Relationship Id="rId5" Type="http://schemas.openxmlformats.org/officeDocument/2006/relationships/hyperlink" Target="https://portal.eias.ru/Portal/DownloadPage.aspx?type=12&amp;guid=4dee7cc3-9059-411e-bfe1-2c178d4f7b3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777BE-D0EA-5D22-CE5D-0.7BD6C0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6507" width="5.421875" customWidth="1"/>
    <col min="2" max="2" style="6507" width="9.140625" customWidth="1"/>
    <col min="3" max="3" style="6507" width="16.421875" customWidth="1"/>
    <col min="4" max="25" style="6507" width="6.28125" customWidth="1"/>
    <col min="26" max="28" style="6507"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9578A-F86F-1D46-36FB-0.27727BC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6040" width="9.140625" hidden="1" customWidth="1"/>
    <col min="2" max="3" style="5796" width="9.140625" hidden="1" customWidth="1"/>
    <col min="4" max="4" style="6091" width="3.00390625" customWidth="1"/>
    <col min="5" max="5" style="5796" width="6.00390625" customWidth="1"/>
    <col min="6" max="6" style="5796" width="1.7109375" hidden="1" customWidth="1"/>
    <col min="7" max="8" style="5796" width="30.00390625" customWidth="1"/>
    <col min="9" max="9" style="5796" width="8.00390625" customWidth="1"/>
    <col min="10" max="10" style="5796" width="12.140625" customWidth="1"/>
    <col min="11" max="11" style="5796" width="46.00390625" customWidth="1"/>
    <col min="12" max="12" style="5796" width="100.00390625" customWidth="1"/>
    <col min="13" max="13" style="3562" width="7.00390625" customWidth="1"/>
    <col min="14" max="22" style="5796" width="10.00390625" customWidth="1"/>
    <col min="23" max="23" style="5796" width="10.57421875" hidden="1"/>
  </cols>
  <sheetData>
    <row s="5305" customFormat="1" customHeight="1" ht="5.25" hidden="1">
      <c r="C1" s="576"/>
      <c r="D1" s="559"/>
      <c r="F1" s="576"/>
      <c r="G1" s="554" t="s">
        <v>86</v>
      </c>
      <c r="H1" s="554" t="s">
        <v>87</v>
      </c>
      <c r="I1" s="554" t="s">
        <v>88</v>
      </c>
      <c r="P1" s="554" t="s">
        <v>86</v>
      </c>
      <c r="Q1" s="554" t="s">
        <v>87</v>
      </c>
      <c r="R1" s="554" t="s">
        <v>88</v>
      </c>
      <c r="W1" s="554" t="s">
        <v>14</v>
      </c>
    </row>
    <row s="5305" customFormat="1" customHeight="1" ht="5.25" hidden="1">
      <c r="C2" s="576"/>
      <c r="D2" s="559"/>
      <c r="F2" s="576"/>
      <c r="W2" s="554">
        <v>0</v>
      </c>
    </row>
    <row s="3515" customFormat="1" customHeight="1" ht="5.25">
      <c r="A3" s="544"/>
      <c r="D3" s="551"/>
      <c r="E3" s="546"/>
      <c r="F3" s="546"/>
      <c r="G3" s="546"/>
      <c r="H3" s="546"/>
      <c r="I3" s="547"/>
      <c r="J3" s="548"/>
      <c r="K3" s="548"/>
      <c r="L3" s="548"/>
      <c r="W3" s="545">
        <v>5</v>
      </c>
    </row>
    <row customHeight="1" ht="23.25">
      <c r="D4" s="515"/>
      <c r="E4" s="2303" t="s">
        <v>397</v>
      </c>
      <c r="F4" s="2303"/>
      <c r="G4" s="2304"/>
      <c r="H4" s="2304"/>
      <c r="I4" s="2305"/>
      <c r="J4" s="556"/>
      <c r="K4" s="518"/>
      <c r="L4" s="518"/>
      <c r="W4" s="512">
        <v>22</v>
      </c>
    </row>
    <row s="5796" customFormat="1" customHeight="1" ht="18">
      <c r="A5" s="824"/>
      <c r="D5" s="887"/>
      <c r="E5" s="2279" t="str">
        <f>IF(org=0,"Не определено",org)</f>
        <v>Нарьян-Марское МУ ПОКиТС</v>
      </c>
      <c r="F5" s="2279"/>
      <c r="G5" s="2280"/>
      <c r="H5" s="2280"/>
      <c r="I5" s="2281"/>
      <c r="J5" s="556"/>
      <c r="K5" s="518"/>
      <c r="L5" s="518"/>
      <c r="M5" s="572"/>
      <c r="W5" s="823">
        <v>17</v>
      </c>
    </row>
    <row s="3515" customFormat="1" customHeight="1" ht="11.549999999999999">
      <c r="A6" s="544"/>
      <c r="D6" s="551"/>
      <c r="E6" s="546"/>
      <c r="F6" s="546"/>
      <c r="G6" s="549"/>
      <c r="H6" s="549"/>
      <c r="I6" s="550"/>
      <c r="J6" s="550"/>
      <c r="K6" s="817"/>
      <c r="L6" s="550"/>
      <c r="W6" s="545">
        <v>11</v>
      </c>
    </row>
    <row customHeight="1" ht="14.699999999999998">
      <c r="D7" s="515"/>
      <c r="E7" s="2273" t="s">
        <v>309</v>
      </c>
      <c r="F7" s="2273"/>
      <c r="G7" s="2274"/>
      <c r="H7" s="2274"/>
      <c r="I7" s="2274"/>
      <c r="J7" s="2274"/>
      <c r="K7" s="2274"/>
      <c r="L7" s="2288" t="s">
        <v>310</v>
      </c>
      <c r="W7" s="512">
        <v>14</v>
      </c>
    </row>
    <row customHeight="1" ht="48.29999999999999">
      <c r="D8" s="515"/>
      <c r="E8" s="538" t="s">
        <v>91</v>
      </c>
      <c r="F8" s="888"/>
      <c r="G8" s="530" t="s">
        <v>89</v>
      </c>
      <c r="H8" s="530" t="s">
        <v>90</v>
      </c>
      <c r="I8" s="479" t="s">
        <v>88</v>
      </c>
      <c r="J8" s="479" t="s">
        <v>398</v>
      </c>
      <c r="K8" s="479" t="s">
        <v>399</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400</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515" customFormat="1" customHeight="1" ht="15">
      <c r="A12" s="2164"/>
      <c r="B12" s="569"/>
      <c r="C12" s="569"/>
      <c r="D12" s="931"/>
      <c r="E12" s="888">
        <v>1</v>
      </c>
      <c r="F12" s="929">
        <v>23</v>
      </c>
      <c r="G12" s="928"/>
      <c r="H12" s="858"/>
      <c r="I12" s="856"/>
      <c r="J12" s="585" t="s">
        <v>64</v>
      </c>
      <c r="K12" s="1229" t="s">
        <v>28</v>
      </c>
      <c r="L12" s="2306"/>
      <c r="M12" s="576"/>
      <c r="N12" s="576"/>
      <c r="O12" s="576"/>
      <c r="P12" s="581" t="s">
        <v>401</v>
      </c>
      <c r="Q12" s="581" t="s">
        <v>402</v>
      </c>
      <c r="R12" s="582" t="s">
        <v>403</v>
      </c>
      <c r="S12" s="576" t="s">
        <v>404</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A3664-F145-0527-0795-0.A534F6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409</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411</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412</v>
      </c>
      <c r="M6" s="602"/>
      <c r="P6" s="2322">
        <v>1</v>
      </c>
      <c r="Q6" s="1370"/>
      <c r="R6" s="421"/>
      <c r="S6" s="1374">
        <f>$I6</f>
      </c>
      <c r="T6" s="350" t="s">
        <v>413</v>
      </c>
      <c r="U6" s="365"/>
      <c r="V6" s="2310"/>
      <c r="W6" s="2311"/>
      <c r="X6" s="2311"/>
      <c r="Y6" s="2311"/>
      <c r="Z6" s="2311"/>
      <c r="AA6" s="2311"/>
      <c r="AB6" s="2311"/>
      <c r="AC6" s="2312"/>
      <c r="AD6" s="2310"/>
      <c r="AE6" s="2311"/>
      <c r="AF6" s="2311"/>
      <c r="AG6" s="2311"/>
      <c r="AH6" s="2311"/>
      <c r="AI6" s="2311"/>
      <c r="AJ6" s="2311"/>
      <c r="AK6" s="2311"/>
      <c r="AL6" s="2312"/>
      <c r="AM6" s="1323" t="s">
        <v>414</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415</v>
      </c>
      <c r="M7" s="602"/>
      <c r="N7" s="1431"/>
      <c r="P7" s="2322"/>
      <c r="Q7" s="2322">
        <v>1</v>
      </c>
      <c r="R7" s="422"/>
      <c r="S7" s="1374">
        <f>$J7</f>
      </c>
      <c r="T7" s="351" t="s">
        <v>416</v>
      </c>
      <c r="U7" s="365"/>
      <c r="V7" s="2310"/>
      <c r="W7" s="2311"/>
      <c r="X7" s="2311"/>
      <c r="Y7" s="2311"/>
      <c r="Z7" s="2311"/>
      <c r="AA7" s="2311"/>
      <c r="AB7" s="2311"/>
      <c r="AC7" s="2312"/>
      <c r="AD7" s="2310"/>
      <c r="AE7" s="2311"/>
      <c r="AF7" s="2311"/>
      <c r="AG7" s="2311"/>
      <c r="AH7" s="2311"/>
      <c r="AI7" s="2311"/>
      <c r="AJ7" s="2311"/>
      <c r="AK7" s="2311"/>
      <c r="AL7" s="2312"/>
      <c r="AM7" s="1323" t="s">
        <v>417</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418</v>
      </c>
      <c r="M8" s="602"/>
      <c r="N8" s="1431"/>
      <c r="O8" s="1431"/>
      <c r="P8" s="2322"/>
      <c r="Q8" s="2322"/>
      <c r="R8" s="422">
        <v>1</v>
      </c>
      <c r="S8" s="1374">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419</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420</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421</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422</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5305"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5305"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5305"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64</v>
      </c>
      <c r="AJ17" s="2332"/>
      <c r="AK17" s="2333" t="s">
        <v>64</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5745" customFormat="1" customHeight="1" ht="22.5" hidden="1">
      <c r="L20" s="1394"/>
      <c r="M20" s="1427"/>
      <c r="N20" s="1427"/>
      <c r="O20" s="1432" t="s">
        <v>423</v>
      </c>
      <c r="P20" s="1427"/>
      <c r="Q20" s="1436"/>
      <c r="R20" s="1436"/>
      <c r="S20" s="794"/>
      <c r="Z20" s="1432"/>
      <c r="AB20" s="1432"/>
      <c r="AC20" s="1431"/>
      <c r="AH20" s="1432"/>
      <c r="AJ20" s="1432"/>
      <c r="AK20" s="1431"/>
      <c r="AN20" s="576"/>
      <c r="AO20" s="576"/>
      <c r="AP20" s="576"/>
      <c r="AQ20" s="576"/>
      <c r="AR20" s="576"/>
      <c r="AS20" s="1225">
        <v>0</v>
      </c>
    </row>
    <row s="5745" customFormat="1" customHeight="1" ht="14.25" hidden="1">
      <c r="L21" s="1394"/>
      <c r="M21" s="1427"/>
      <c r="N21" s="1427"/>
      <c r="O21" s="1427"/>
      <c r="P21" s="1427"/>
      <c r="Q21" s="1436"/>
      <c r="R21" s="1436"/>
      <c r="S21" s="794"/>
      <c r="AC21" s="1431"/>
      <c r="AK21" s="1431"/>
      <c r="AN21" s="576"/>
      <c r="AO21" s="576"/>
      <c r="AP21" s="576"/>
      <c r="AQ21" s="576"/>
      <c r="AR21" s="576"/>
      <c r="AS21" s="1225">
        <v>0</v>
      </c>
    </row>
    <row s="5745" customFormat="1" customHeight="1" ht="14.25" hidden="1">
      <c r="L22" s="1394"/>
      <c r="M22" s="1427"/>
      <c r="N22" s="1427"/>
      <c r="O22" s="1429" t="s">
        <v>424</v>
      </c>
      <c r="P22" s="1427"/>
      <c r="Q22" s="1436"/>
      <c r="R22" s="1436"/>
      <c r="S22" s="794"/>
      <c r="T22" s="1225" t="s">
        <v>425</v>
      </c>
      <c r="AA22" s="251" t="s">
        <v>426</v>
      </c>
      <c r="AC22" s="251" t="s">
        <v>427</v>
      </c>
      <c r="AD22" s="1225" t="s">
        <v>425</v>
      </c>
      <c r="AI22" s="251" t="s">
        <v>428</v>
      </c>
      <c r="AK22" s="251" t="s">
        <v>427</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1"/>
      <c r="AM29" s="345"/>
      <c r="AN29" s="433"/>
      <c r="AO29" s="433"/>
      <c r="AP29" s="433"/>
      <c r="AQ29" s="433"/>
      <c r="AR29" s="433"/>
      <c r="AS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1"/>
      <c r="AM30" s="345"/>
      <c r="AN30" s="433"/>
      <c r="AO30" s="433"/>
      <c r="AP30" s="433"/>
      <c r="AQ30" s="433"/>
      <c r="AR30" s="433"/>
      <c r="AS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1"/>
      <c r="AM31" s="345"/>
      <c r="AN31" s="433"/>
      <c r="AO31" s="433"/>
      <c r="AP31" s="433"/>
      <c r="AQ31" s="433"/>
      <c r="AR31" s="433"/>
      <c r="AS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1"/>
      <c r="AM34" s="345"/>
      <c r="AN34" s="433"/>
      <c r="AO34" s="433"/>
      <c r="AP34" s="433"/>
      <c r="AQ34" s="433"/>
      <c r="AR34" s="433"/>
      <c r="AS34" s="483">
        <v>0</v>
      </c>
    </row>
    <row s="6339" customFormat="1" customHeight="1" ht="18.7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1"/>
      <c r="AM35" s="345"/>
      <c r="AN35" s="433"/>
      <c r="AO35" s="433"/>
      <c r="AP35" s="433"/>
      <c r="AQ35" s="433"/>
      <c r="AR35" s="433"/>
      <c r="AS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433</v>
      </c>
      <c r="AD36" s="391"/>
      <c r="AE36" s="391"/>
      <c r="AF36" s="391"/>
      <c r="AG36" s="391"/>
      <c r="AH36" s="391"/>
      <c r="AI36" s="391"/>
      <c r="AJ36" s="391"/>
      <c r="AK36" s="343" t="s">
        <v>433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220">
        <v>14</v>
      </c>
    </row>
    <row customHeight="1" ht="14.699999999999998">
      <c r="Q39" s="441"/>
      <c r="R39" s="441"/>
      <c r="S39" s="2338" t="s">
        <v>91</v>
      </c>
      <c r="T39" s="2274" t="s">
        <v>434</v>
      </c>
      <c r="U39" s="366"/>
      <c r="V39" s="2339" t="s">
        <v>435</v>
      </c>
      <c r="W39" s="2340"/>
      <c r="X39" s="2340"/>
      <c r="Y39" s="2340"/>
      <c r="Z39" s="2340"/>
      <c r="AA39" s="2340"/>
      <c r="AB39" s="2341"/>
      <c r="AC39" s="2342" t="s">
        <v>436</v>
      </c>
      <c r="AD39" s="2339" t="s">
        <v>435</v>
      </c>
      <c r="AE39" s="2340"/>
      <c r="AF39" s="2340"/>
      <c r="AG39" s="2340"/>
      <c r="AH39" s="2340"/>
      <c r="AI39" s="2340"/>
      <c r="AJ39" s="2341"/>
      <c r="AK39" s="2342" t="s">
        <v>437</v>
      </c>
      <c r="AL39" s="2345" t="s">
        <v>438</v>
      </c>
      <c r="AM39" s="2192"/>
      <c r="AS39" s="1220">
        <v>14</v>
      </c>
    </row>
    <row customHeight="1" ht="35.699999999999996">
      <c r="Q40" s="441"/>
      <c r="R40" s="441"/>
      <c r="S40" s="2338"/>
      <c r="T40" s="2274"/>
      <c r="U40" s="1096"/>
      <c r="V40" s="2325" t="s">
        <v>439</v>
      </c>
      <c r="W40" s="2675" t="s">
        <v>440</v>
      </c>
      <c r="X40" s="2327" t="s">
        <v>441</v>
      </c>
      <c r="Y40" s="2328"/>
      <c r="Z40" s="2327" t="s">
        <v>442</v>
      </c>
      <c r="AA40" s="2334"/>
      <c r="AB40" s="2328"/>
      <c r="AC40" s="2343"/>
      <c r="AD40" s="2325" t="s">
        <v>439</v>
      </c>
      <c r="AE40" s="2348" t="s">
        <v>440</v>
      </c>
      <c r="AF40" s="2327" t="s">
        <v>441</v>
      </c>
      <c r="AG40" s="2328"/>
      <c r="AH40" s="2327" t="s">
        <v>442</v>
      </c>
      <c r="AI40" s="2334"/>
      <c r="AJ40" s="2328"/>
      <c r="AK40" s="2343"/>
      <c r="AL40" s="2346"/>
      <c r="AM40" s="2192"/>
      <c r="AS40" s="1220">
        <v>34</v>
      </c>
    </row>
    <row customHeight="1" ht="35.699999999999996">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Q41" s="441"/>
      <c r="R41" s="441"/>
      <c r="S41" s="2338"/>
      <c r="T41" s="2274"/>
      <c r="U41" s="367"/>
      <c r="V41" s="2326"/>
      <c r="W41" s="2349"/>
      <c r="X41" s="1287" t="s">
        <v>450</v>
      </c>
      <c r="Y41" s="1287" t="s">
        <v>451</v>
      </c>
      <c r="Z41" s="1286" t="s">
        <v>452</v>
      </c>
      <c r="AA41" s="2335" t="s">
        <v>453</v>
      </c>
      <c r="AB41" s="2336"/>
      <c r="AC41" s="2344"/>
      <c r="AD41" s="2326"/>
      <c r="AE41" s="2349"/>
      <c r="AF41" s="1287" t="s">
        <v>450</v>
      </c>
      <c r="AG41" s="1287" t="s">
        <v>451</v>
      </c>
      <c r="AH41" s="1378" t="s">
        <v>452</v>
      </c>
      <c r="AI41" s="2335" t="s">
        <v>453</v>
      </c>
      <c r="AJ41" s="2336"/>
      <c r="AK41" s="2344"/>
      <c r="AL41" s="2347"/>
      <c r="AM41" s="2192"/>
      <c r="AS41" s="1220">
        <v>34</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412</v>
      </c>
      <c r="P47" s="2322">
        <v>1</v>
      </c>
      <c r="Q47" s="1285"/>
      <c r="R47" s="421"/>
      <c r="S47" s="1289" t="str">
        <f>$I47</f>
        <v>....1</v>
      </c>
      <c r="T47" s="350" t="s">
        <v>413</v>
      </c>
      <c r="U47" s="365"/>
      <c r="V47" s="2310"/>
      <c r="W47" s="2311"/>
      <c r="X47" s="2311"/>
      <c r="Y47" s="2311"/>
      <c r="Z47" s="2311"/>
      <c r="AA47" s="2311"/>
      <c r="AB47" s="2311"/>
      <c r="AC47" s="2312"/>
      <c r="AD47" s="2310"/>
      <c r="AE47" s="2311"/>
      <c r="AF47" s="2311"/>
      <c r="AG47" s="2311"/>
      <c r="AH47" s="2311"/>
      <c r="AI47" s="2311"/>
      <c r="AJ47" s="2311"/>
      <c r="AK47" s="2311"/>
      <c r="AL47" s="2312"/>
      <c r="AM47" s="1323" t="s">
        <v>414</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415</v>
      </c>
      <c r="P48" s="2322"/>
      <c r="Q48" s="2322">
        <v>1</v>
      </c>
      <c r="R48" s="422"/>
      <c r="S48" s="1289" t="str">
        <f>$J48</f>
        <v>....1.1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418</v>
      </c>
      <c r="P49" s="2322"/>
      <c r="Q49" s="2322"/>
      <c r="R49" s="422">
        <v>1</v>
      </c>
      <c r="S49" s="1289"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419</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420</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421</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422</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5305"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5305"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5305"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5305"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01B44-D23F-A816-2E4F-0.6F919A5}" mc:Ignorable="x14ac xr xr2 xr3">
  <sheetPr>
    <tabColor theme="6" tint="0.4"/>
  </sheetPr>
  <dimension ref="A1:CW85"/>
  <sheetViews>
    <sheetView topLeftCell="A1" showGridLines="0" zoomScale="90" workbookViewId="0">
      <selection activeCell="T80" sqref="T80:CQ80"/>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customWidth="1"/>
    <col min="93" max="93" style="127" width="10.57421875" hidden="1"/>
    <col min="94" max="94" style="5796" width="4.00390625" customWidth="1"/>
    <col min="95" max="95" style="5796" width="115.00390625" customWidth="1"/>
    <col min="96" max="100" style="5305" width="10.00390625" customWidth="1"/>
    <col min="101" max="101" style="5796" width="10.57421875" hidden="1"/>
  </cols>
  <sheetData>
    <row customHeight="1" ht="22.5" hidden="1">
      <c r="Y1" s="392"/>
      <c r="Z1" s="392"/>
      <c r="AG1" s="392"/>
      <c r="AH1" s="392"/>
      <c r="AL1" s="3779"/>
      <c r="AM1" s="3779"/>
      <c r="AN1" s="3779"/>
      <c r="AO1" s="3779"/>
      <c r="AP1" s="3779"/>
      <c r="AQ1" s="3779"/>
      <c r="AR1" s="3779"/>
      <c r="AS1" s="3779"/>
      <c r="AT1" s="3779"/>
      <c r="AU1" s="3779"/>
      <c r="AV1" s="3779"/>
      <c r="AW1" s="3779"/>
      <c r="AX1" s="3779"/>
      <c r="AY1" s="3779"/>
      <c r="AZ1" s="3779"/>
      <c r="BA1" s="3779"/>
      <c r="BB1" s="3779"/>
      <c r="BC1" s="3779"/>
      <c r="BD1" s="3779"/>
      <c r="BE1" s="3779"/>
      <c r="BF1" s="3779"/>
      <c r="BG1" s="3779"/>
      <c r="BH1" s="3779"/>
      <c r="BI1" s="3779"/>
      <c r="BJ1" s="3779"/>
      <c r="BK1" s="3779"/>
      <c r="BL1" s="3779"/>
      <c r="BM1" s="3779"/>
      <c r="BN1" s="3779"/>
      <c r="BO1" s="3779"/>
      <c r="BP1" s="3779"/>
      <c r="BQ1" s="3779"/>
      <c r="BR1" s="3779"/>
      <c r="BS1" s="3779"/>
      <c r="BT1" s="3779"/>
      <c r="BU1" s="3779"/>
      <c r="BV1" s="3779"/>
      <c r="BW1" s="3779"/>
      <c r="BX1" s="3779"/>
      <c r="BY1" s="3779"/>
      <c r="BZ1" s="3779"/>
      <c r="CA1" s="3779"/>
      <c r="CB1" s="3779"/>
      <c r="CC1" s="3779"/>
      <c r="CD1" s="3779"/>
      <c r="CE1" s="3779"/>
      <c r="CF1" s="3779"/>
      <c r="CG1" s="3779"/>
      <c r="CH1" s="3779"/>
      <c r="CI1" s="3779"/>
      <c r="CJ1" s="3779"/>
      <c r="CK1" s="3779"/>
      <c r="CL1" s="3779"/>
      <c r="CM1" s="3779"/>
      <c r="CN1" s="3779"/>
      <c r="CO1" s="6520"/>
      <c r="CW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781"/>
      <c r="AM2" s="3782"/>
      <c r="AN2" s="3782"/>
      <c r="AO2" s="3782"/>
      <c r="AP2" s="3782"/>
      <c r="AQ2" s="3782"/>
      <c r="AR2" s="3782"/>
      <c r="AS2" s="3783"/>
      <c r="AT2" s="3781"/>
      <c r="AU2" s="3782"/>
      <c r="AV2" s="3782"/>
      <c r="AW2" s="3782"/>
      <c r="AX2" s="3782"/>
      <c r="AY2" s="3782"/>
      <c r="AZ2" s="3782"/>
      <c r="BA2" s="3783"/>
      <c r="BB2" s="3781"/>
      <c r="BC2" s="3782"/>
      <c r="BD2" s="3782"/>
      <c r="BE2" s="3782"/>
      <c r="BF2" s="3782"/>
      <c r="BG2" s="3782"/>
      <c r="BH2" s="3782"/>
      <c r="BI2" s="3783"/>
      <c r="BJ2" s="3781"/>
      <c r="BK2" s="3782"/>
      <c r="BL2" s="3782"/>
      <c r="BM2" s="3782"/>
      <c r="BN2" s="3782"/>
      <c r="BO2" s="3782"/>
      <c r="BP2" s="3782"/>
      <c r="BQ2" s="3783"/>
      <c r="BR2" s="3781"/>
      <c r="BS2" s="3782"/>
      <c r="BT2" s="3782"/>
      <c r="BU2" s="3782"/>
      <c r="BV2" s="3782"/>
      <c r="BW2" s="3782"/>
      <c r="BX2" s="3782"/>
      <c r="BY2" s="3783"/>
      <c r="BZ2" s="3781"/>
      <c r="CA2" s="3782"/>
      <c r="CB2" s="3782"/>
      <c r="CC2" s="3782"/>
      <c r="CD2" s="3782"/>
      <c r="CE2" s="3782"/>
      <c r="CF2" s="3782"/>
      <c r="CG2" s="3783"/>
      <c r="CH2" s="3781"/>
      <c r="CI2" s="3782"/>
      <c r="CJ2" s="3782"/>
      <c r="CK2" s="3782"/>
      <c r="CL2" s="3782"/>
      <c r="CM2" s="3782"/>
      <c r="CN2" s="3782"/>
      <c r="CO2" s="6521"/>
      <c r="CP2" s="2309"/>
      <c r="CQ2" s="1323" t="s">
        <v>405</v>
      </c>
      <c r="CS2" s="565"/>
      <c r="CT2" s="565" t="str">
        <f>IF(T2="","",T2)</f>
        <v>Наименование тарифа</v>
      </c>
      <c r="CU2" s="565"/>
      <c r="CV2" s="565"/>
      <c r="CW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781"/>
      <c r="AM3" s="3782"/>
      <c r="AN3" s="3782"/>
      <c r="AO3" s="3782"/>
      <c r="AP3" s="3782"/>
      <c r="AQ3" s="3782"/>
      <c r="AR3" s="3782"/>
      <c r="AS3" s="3783"/>
      <c r="AT3" s="3781"/>
      <c r="AU3" s="3782"/>
      <c r="AV3" s="3782"/>
      <c r="AW3" s="3782"/>
      <c r="AX3" s="3782"/>
      <c r="AY3" s="3782"/>
      <c r="AZ3" s="3782"/>
      <c r="BA3" s="3783"/>
      <c r="BB3" s="3781"/>
      <c r="BC3" s="3782"/>
      <c r="BD3" s="3782"/>
      <c r="BE3" s="3782"/>
      <c r="BF3" s="3782"/>
      <c r="BG3" s="3782"/>
      <c r="BH3" s="3782"/>
      <c r="BI3" s="3783"/>
      <c r="BJ3" s="3781"/>
      <c r="BK3" s="3782"/>
      <c r="BL3" s="3782"/>
      <c r="BM3" s="3782"/>
      <c r="BN3" s="3782"/>
      <c r="BO3" s="3782"/>
      <c r="BP3" s="3782"/>
      <c r="BQ3" s="3783"/>
      <c r="BR3" s="3781"/>
      <c r="BS3" s="3782"/>
      <c r="BT3" s="3782"/>
      <c r="BU3" s="3782"/>
      <c r="BV3" s="3782"/>
      <c r="BW3" s="3782"/>
      <c r="BX3" s="3782"/>
      <c r="BY3" s="3783"/>
      <c r="BZ3" s="3781"/>
      <c r="CA3" s="3782"/>
      <c r="CB3" s="3782"/>
      <c r="CC3" s="3782"/>
      <c r="CD3" s="3782"/>
      <c r="CE3" s="3782"/>
      <c r="CF3" s="3782"/>
      <c r="CG3" s="3783"/>
      <c r="CH3" s="3781"/>
      <c r="CI3" s="3782"/>
      <c r="CJ3" s="3782"/>
      <c r="CK3" s="3782"/>
      <c r="CL3" s="3782"/>
      <c r="CM3" s="3782"/>
      <c r="CN3" s="3782"/>
      <c r="CO3" s="6521"/>
      <c r="CP3" s="2309"/>
      <c r="CQ3" s="1323" t="s">
        <v>407</v>
      </c>
      <c r="CS3" s="565"/>
      <c r="CT3" s="565" t="str">
        <f>IF(T3="","",T3)</f>
        <v>Территория действия тарифа</v>
      </c>
      <c r="CU3" s="565"/>
      <c r="CV3" s="565"/>
      <c r="CW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781"/>
      <c r="AM4" s="3782"/>
      <c r="AN4" s="3782"/>
      <c r="AO4" s="3782"/>
      <c r="AP4" s="3782"/>
      <c r="AQ4" s="3782"/>
      <c r="AR4" s="3782"/>
      <c r="AS4" s="3783"/>
      <c r="AT4" s="3781"/>
      <c r="AU4" s="3782"/>
      <c r="AV4" s="3782"/>
      <c r="AW4" s="3782"/>
      <c r="AX4" s="3782"/>
      <c r="AY4" s="3782"/>
      <c r="AZ4" s="3782"/>
      <c r="BA4" s="3783"/>
      <c r="BB4" s="3781"/>
      <c r="BC4" s="3782"/>
      <c r="BD4" s="3782"/>
      <c r="BE4" s="3782"/>
      <c r="BF4" s="3782"/>
      <c r="BG4" s="3782"/>
      <c r="BH4" s="3782"/>
      <c r="BI4" s="3783"/>
      <c r="BJ4" s="3781"/>
      <c r="BK4" s="3782"/>
      <c r="BL4" s="3782"/>
      <c r="BM4" s="3782"/>
      <c r="BN4" s="3782"/>
      <c r="BO4" s="3782"/>
      <c r="BP4" s="3782"/>
      <c r="BQ4" s="3783"/>
      <c r="BR4" s="3781"/>
      <c r="BS4" s="3782"/>
      <c r="BT4" s="3782"/>
      <c r="BU4" s="3782"/>
      <c r="BV4" s="3782"/>
      <c r="BW4" s="3782"/>
      <c r="BX4" s="3782"/>
      <c r="BY4" s="3783"/>
      <c r="BZ4" s="3781"/>
      <c r="CA4" s="3782"/>
      <c r="CB4" s="3782"/>
      <c r="CC4" s="3782"/>
      <c r="CD4" s="3782"/>
      <c r="CE4" s="3782"/>
      <c r="CF4" s="3782"/>
      <c r="CG4" s="3783"/>
      <c r="CH4" s="3781"/>
      <c r="CI4" s="3782"/>
      <c r="CJ4" s="3782"/>
      <c r="CK4" s="3782"/>
      <c r="CL4" s="3782"/>
      <c r="CM4" s="3782"/>
      <c r="CN4" s="3782"/>
      <c r="CO4" s="6521"/>
      <c r="CP4" s="2309"/>
      <c r="CQ4" s="1323" t="s">
        <v>409</v>
      </c>
      <c r="CS4" s="565"/>
      <c r="CT4" s="565" t="str">
        <f>IF(T4="","",T4)</f>
        <v>Наименование системы теплоснабжения </v>
      </c>
      <c r="CU4" s="565"/>
      <c r="CV4" s="565"/>
      <c r="CW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781"/>
      <c r="AM5" s="3782"/>
      <c r="AN5" s="3782"/>
      <c r="AO5" s="3782"/>
      <c r="AP5" s="3782"/>
      <c r="AQ5" s="3782"/>
      <c r="AR5" s="3782"/>
      <c r="AS5" s="3783"/>
      <c r="AT5" s="3781"/>
      <c r="AU5" s="3782"/>
      <c r="AV5" s="3782"/>
      <c r="AW5" s="3782"/>
      <c r="AX5" s="3782"/>
      <c r="AY5" s="3782"/>
      <c r="AZ5" s="3782"/>
      <c r="BA5" s="3783"/>
      <c r="BB5" s="3781"/>
      <c r="BC5" s="3782"/>
      <c r="BD5" s="3782"/>
      <c r="BE5" s="3782"/>
      <c r="BF5" s="3782"/>
      <c r="BG5" s="3782"/>
      <c r="BH5" s="3782"/>
      <c r="BI5" s="3783"/>
      <c r="BJ5" s="3781"/>
      <c r="BK5" s="3782"/>
      <c r="BL5" s="3782"/>
      <c r="BM5" s="3782"/>
      <c r="BN5" s="3782"/>
      <c r="BO5" s="3782"/>
      <c r="BP5" s="3782"/>
      <c r="BQ5" s="3783"/>
      <c r="BR5" s="3781"/>
      <c r="BS5" s="3782"/>
      <c r="BT5" s="3782"/>
      <c r="BU5" s="3782"/>
      <c r="BV5" s="3782"/>
      <c r="BW5" s="3782"/>
      <c r="BX5" s="3782"/>
      <c r="BY5" s="3783"/>
      <c r="BZ5" s="3781"/>
      <c r="CA5" s="3782"/>
      <c r="CB5" s="3782"/>
      <c r="CC5" s="3782"/>
      <c r="CD5" s="3782"/>
      <c r="CE5" s="3782"/>
      <c r="CF5" s="3782"/>
      <c r="CG5" s="3783"/>
      <c r="CH5" s="3781"/>
      <c r="CI5" s="3782"/>
      <c r="CJ5" s="3782"/>
      <c r="CK5" s="3782"/>
      <c r="CL5" s="3782"/>
      <c r="CM5" s="3782"/>
      <c r="CN5" s="3782"/>
      <c r="CO5" s="6521"/>
      <c r="CP5" s="2309"/>
      <c r="CQ5" s="1323" t="s">
        <v>411</v>
      </c>
      <c r="CS5" s="565"/>
      <c r="CT5" s="565" t="str">
        <f>IF(T5="","",T5)</f>
        <v>Источник тепловой энергии  </v>
      </c>
      <c r="CU5" s="565"/>
      <c r="CV5" s="565"/>
      <c r="CW5" s="1220">
        <v>0</v>
      </c>
    </row>
    <row customHeight="1" ht="47.25" hidden="1">
      <c r="A6" s="1428"/>
      <c r="B6" s="1428"/>
      <c r="C6" s="1428"/>
      <c r="D6" s="1428"/>
      <c r="E6" s="2324"/>
      <c r="F6" s="2324"/>
      <c r="G6" s="2324"/>
      <c r="H6" s="2324"/>
      <c r="I6" s="2321">
        <f>S5&amp;".1"</f>
      </c>
      <c r="J6" s="1428"/>
      <c r="K6" s="1428"/>
      <c r="L6" s="1429" t="s">
        <v>412</v>
      </c>
      <c r="M6" s="602"/>
      <c r="P6" s="2322">
        <v>1</v>
      </c>
      <c r="Q6" s="1396"/>
      <c r="R6" s="421"/>
      <c r="S6" s="1401">
        <f>$I6</f>
      </c>
      <c r="T6" s="350" t="s">
        <v>413</v>
      </c>
      <c r="U6" s="365"/>
      <c r="V6" s="2310"/>
      <c r="W6" s="2311"/>
      <c r="X6" s="2311"/>
      <c r="Y6" s="2311"/>
      <c r="Z6" s="2311"/>
      <c r="AA6" s="2311"/>
      <c r="AB6" s="2311"/>
      <c r="AC6" s="2312"/>
      <c r="AD6" s="2310"/>
      <c r="AE6" s="2311"/>
      <c r="AF6" s="2311"/>
      <c r="AG6" s="2311"/>
      <c r="AH6" s="2311"/>
      <c r="AI6" s="2311"/>
      <c r="AJ6" s="2311"/>
      <c r="AK6" s="2311"/>
      <c r="AL6" s="3786"/>
      <c r="AM6" s="3787"/>
      <c r="AN6" s="3787"/>
      <c r="AO6" s="3787"/>
      <c r="AP6" s="3787"/>
      <c r="AQ6" s="3787"/>
      <c r="AR6" s="3787"/>
      <c r="AS6" s="3788"/>
      <c r="AT6" s="3786"/>
      <c r="AU6" s="3787"/>
      <c r="AV6" s="3787"/>
      <c r="AW6" s="3787"/>
      <c r="AX6" s="3787"/>
      <c r="AY6" s="3787"/>
      <c r="AZ6" s="3787"/>
      <c r="BA6" s="3788"/>
      <c r="BB6" s="3786"/>
      <c r="BC6" s="3787"/>
      <c r="BD6" s="3787"/>
      <c r="BE6" s="3787"/>
      <c r="BF6" s="3787"/>
      <c r="BG6" s="3787"/>
      <c r="BH6" s="3787"/>
      <c r="BI6" s="3788"/>
      <c r="BJ6" s="3786"/>
      <c r="BK6" s="3787"/>
      <c r="BL6" s="3787"/>
      <c r="BM6" s="3787"/>
      <c r="BN6" s="3787"/>
      <c r="BO6" s="3787"/>
      <c r="BP6" s="3787"/>
      <c r="BQ6" s="3788"/>
      <c r="BR6" s="3786"/>
      <c r="BS6" s="3787"/>
      <c r="BT6" s="3787"/>
      <c r="BU6" s="3787"/>
      <c r="BV6" s="3787"/>
      <c r="BW6" s="3787"/>
      <c r="BX6" s="3787"/>
      <c r="BY6" s="3788"/>
      <c r="BZ6" s="3786"/>
      <c r="CA6" s="3787"/>
      <c r="CB6" s="3787"/>
      <c r="CC6" s="3787"/>
      <c r="CD6" s="3787"/>
      <c r="CE6" s="3787"/>
      <c r="CF6" s="3787"/>
      <c r="CG6" s="3788"/>
      <c r="CH6" s="3786"/>
      <c r="CI6" s="3787"/>
      <c r="CJ6" s="3787"/>
      <c r="CK6" s="3787"/>
      <c r="CL6" s="3787"/>
      <c r="CM6" s="3787"/>
      <c r="CN6" s="3787"/>
      <c r="CO6" s="6522"/>
      <c r="CP6" s="2312"/>
      <c r="CQ6" s="1323" t="s">
        <v>414</v>
      </c>
      <c r="CS6" s="565"/>
      <c r="CT6" s="565" t="str">
        <f>IF(T6="","",T6)</f>
        <v>Схема подключения теплопотребляющей установки к коллектору источника тепловой энергии</v>
      </c>
      <c r="CU6" s="565"/>
      <c r="CV6" s="565"/>
      <c r="CW6" s="1220">
        <v>0</v>
      </c>
    </row>
    <row customHeight="1" ht="21" hidden="1">
      <c r="A7" s="1428"/>
      <c r="B7" s="1428"/>
      <c r="C7" s="1428"/>
      <c r="D7" s="1428"/>
      <c r="E7" s="2324"/>
      <c r="F7" s="2324"/>
      <c r="G7" s="2324"/>
      <c r="H7" s="2324"/>
      <c r="I7" s="2351"/>
      <c r="J7" s="2321">
        <f>I6&amp;".1"</f>
      </c>
      <c r="K7" s="1428"/>
      <c r="L7" s="1429" t="s">
        <v>415</v>
      </c>
      <c r="M7" s="602"/>
      <c r="N7" s="1431"/>
      <c r="P7" s="2322"/>
      <c r="Q7" s="2322">
        <v>1</v>
      </c>
      <c r="R7" s="422"/>
      <c r="S7" s="1401">
        <f>$J7</f>
      </c>
      <c r="T7" s="351" t="s">
        <v>416</v>
      </c>
      <c r="U7" s="365"/>
      <c r="V7" s="2310"/>
      <c r="W7" s="2311"/>
      <c r="X7" s="2311"/>
      <c r="Y7" s="2311"/>
      <c r="Z7" s="2311"/>
      <c r="AA7" s="2311"/>
      <c r="AB7" s="2311"/>
      <c r="AC7" s="2312"/>
      <c r="AD7" s="2310"/>
      <c r="AE7" s="2311"/>
      <c r="AF7" s="2311"/>
      <c r="AG7" s="2311"/>
      <c r="AH7" s="2311"/>
      <c r="AI7" s="2311"/>
      <c r="AJ7" s="2311"/>
      <c r="AK7" s="2311"/>
      <c r="AL7" s="3786"/>
      <c r="AM7" s="3787"/>
      <c r="AN7" s="3787"/>
      <c r="AO7" s="3787"/>
      <c r="AP7" s="3787"/>
      <c r="AQ7" s="3787"/>
      <c r="AR7" s="3787"/>
      <c r="AS7" s="3788"/>
      <c r="AT7" s="3786"/>
      <c r="AU7" s="3787"/>
      <c r="AV7" s="3787"/>
      <c r="AW7" s="3787"/>
      <c r="AX7" s="3787"/>
      <c r="AY7" s="3787"/>
      <c r="AZ7" s="3787"/>
      <c r="BA7" s="3788"/>
      <c r="BB7" s="3786"/>
      <c r="BC7" s="3787"/>
      <c r="BD7" s="3787"/>
      <c r="BE7" s="3787"/>
      <c r="BF7" s="3787"/>
      <c r="BG7" s="3787"/>
      <c r="BH7" s="3787"/>
      <c r="BI7" s="3788"/>
      <c r="BJ7" s="3786"/>
      <c r="BK7" s="3787"/>
      <c r="BL7" s="3787"/>
      <c r="BM7" s="3787"/>
      <c r="BN7" s="3787"/>
      <c r="BO7" s="3787"/>
      <c r="BP7" s="3787"/>
      <c r="BQ7" s="3788"/>
      <c r="BR7" s="3786"/>
      <c r="BS7" s="3787"/>
      <c r="BT7" s="3787"/>
      <c r="BU7" s="3787"/>
      <c r="BV7" s="3787"/>
      <c r="BW7" s="3787"/>
      <c r="BX7" s="3787"/>
      <c r="BY7" s="3788"/>
      <c r="BZ7" s="3786"/>
      <c r="CA7" s="3787"/>
      <c r="CB7" s="3787"/>
      <c r="CC7" s="3787"/>
      <c r="CD7" s="3787"/>
      <c r="CE7" s="3787"/>
      <c r="CF7" s="3787"/>
      <c r="CG7" s="3788"/>
      <c r="CH7" s="3786"/>
      <c r="CI7" s="3787"/>
      <c r="CJ7" s="3787"/>
      <c r="CK7" s="3787"/>
      <c r="CL7" s="3787"/>
      <c r="CM7" s="3787"/>
      <c r="CN7" s="3787"/>
      <c r="CO7" s="6522"/>
      <c r="CP7" s="2312"/>
      <c r="CQ7" s="1323" t="s">
        <v>417</v>
      </c>
      <c r="CS7" s="565"/>
      <c r="CT7" s="565" t="str">
        <f>IF(T7="","",T7)</f>
        <v>Группа потребителей</v>
      </c>
      <c r="CU7" s="565"/>
      <c r="CV7" s="565"/>
      <c r="CW7" s="1220">
        <v>0</v>
      </c>
    </row>
    <row customHeight="1" ht="21" hidden="1">
      <c r="A8" s="1428"/>
      <c r="B8" s="1428"/>
      <c r="C8" s="1428"/>
      <c r="D8" s="1428"/>
      <c r="E8" s="2324"/>
      <c r="F8" s="2324"/>
      <c r="G8" s="2324"/>
      <c r="H8" s="2324"/>
      <c r="I8" s="2351"/>
      <c r="J8" s="2351"/>
      <c r="K8" s="2321">
        <f>J7&amp;".1"</f>
      </c>
      <c r="L8" s="1429" t="s">
        <v>418</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789"/>
      <c r="AM8" s="3790"/>
      <c r="AN8" s="3789"/>
      <c r="AO8" s="3791"/>
      <c r="AP8" s="3792"/>
      <c r="AQ8" s="3121" t="s">
        <v>64</v>
      </c>
      <c r="AR8" s="3792"/>
      <c r="AS8" s="3121" t="s">
        <v>64</v>
      </c>
      <c r="AT8" s="3789"/>
      <c r="AU8" s="3790"/>
      <c r="AV8" s="3789"/>
      <c r="AW8" s="3791"/>
      <c r="AX8" s="3792"/>
      <c r="AY8" s="3121" t="s">
        <v>64</v>
      </c>
      <c r="AZ8" s="3792"/>
      <c r="BA8" s="3121" t="s">
        <v>64</v>
      </c>
      <c r="BB8" s="3789"/>
      <c r="BC8" s="3790"/>
      <c r="BD8" s="3789"/>
      <c r="BE8" s="3791"/>
      <c r="BF8" s="3792"/>
      <c r="BG8" s="3121" t="s">
        <v>64</v>
      </c>
      <c r="BH8" s="3792"/>
      <c r="BI8" s="3121" t="s">
        <v>64</v>
      </c>
      <c r="BJ8" s="3789"/>
      <c r="BK8" s="3790"/>
      <c r="BL8" s="3789"/>
      <c r="BM8" s="3791"/>
      <c r="BN8" s="3792"/>
      <c r="BO8" s="3121" t="s">
        <v>64</v>
      </c>
      <c r="BP8" s="3792"/>
      <c r="BQ8" s="3121" t="s">
        <v>64</v>
      </c>
      <c r="BR8" s="3789"/>
      <c r="BS8" s="3790"/>
      <c r="BT8" s="3789"/>
      <c r="BU8" s="3791"/>
      <c r="BV8" s="3792"/>
      <c r="BW8" s="3121" t="s">
        <v>64</v>
      </c>
      <c r="BX8" s="3792"/>
      <c r="BY8" s="3121" t="s">
        <v>64</v>
      </c>
      <c r="BZ8" s="3789"/>
      <c r="CA8" s="3790"/>
      <c r="CB8" s="3789"/>
      <c r="CC8" s="3791"/>
      <c r="CD8" s="3792"/>
      <c r="CE8" s="3121" t="s">
        <v>64</v>
      </c>
      <c r="CF8" s="3792"/>
      <c r="CG8" s="3121" t="s">
        <v>64</v>
      </c>
      <c r="CH8" s="3789"/>
      <c r="CI8" s="3790"/>
      <c r="CJ8" s="3789"/>
      <c r="CK8" s="3791"/>
      <c r="CL8" s="3792"/>
      <c r="CM8" s="3121" t="s">
        <v>64</v>
      </c>
      <c r="CN8" s="3792"/>
      <c r="CO8" s="6523" t="s">
        <v>64</v>
      </c>
      <c r="CP8" s="390"/>
      <c r="CQ8" s="2318" t="s">
        <v>419</v>
      </c>
      <c r="CR8" s="576">
        <f>STRCHECKDATE(V9:CP9)</f>
      </c>
      <c r="CS8" s="565"/>
      <c r="CT8" s="565" t="str">
        <f>IF(T8="","",T8)</f>
        <v/>
      </c>
      <c r="CU8" s="565"/>
      <c r="CV8" s="565"/>
      <c r="CW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790"/>
      <c r="AM9" s="3790"/>
      <c r="AN9" s="3790"/>
      <c r="AO9" s="3794" t="str">
        <f>AP8&amp;"-"&amp;AR8</f>
        <v>-</v>
      </c>
      <c r="AP9" s="3795"/>
      <c r="AQ9" s="3121"/>
      <c r="AR9" s="3795"/>
      <c r="AS9" s="3121"/>
      <c r="AT9" s="3790"/>
      <c r="AU9" s="3790"/>
      <c r="AV9" s="3790"/>
      <c r="AW9" s="3794" t="str">
        <f>AX8&amp;"-"&amp;AZ8</f>
        <v>-</v>
      </c>
      <c r="AX9" s="3795"/>
      <c r="AY9" s="3121"/>
      <c r="AZ9" s="3795"/>
      <c r="BA9" s="3121"/>
      <c r="BB9" s="3790"/>
      <c r="BC9" s="3790"/>
      <c r="BD9" s="3790"/>
      <c r="BE9" s="3794" t="str">
        <f>BF8&amp;"-"&amp;BH8</f>
        <v>-</v>
      </c>
      <c r="BF9" s="3795"/>
      <c r="BG9" s="3121"/>
      <c r="BH9" s="3795"/>
      <c r="BI9" s="3121"/>
      <c r="BJ9" s="3790"/>
      <c r="BK9" s="3790"/>
      <c r="BL9" s="3790"/>
      <c r="BM9" s="3794" t="str">
        <f>BN8&amp;"-"&amp;BP8</f>
        <v>-</v>
      </c>
      <c r="BN9" s="3795"/>
      <c r="BO9" s="3121"/>
      <c r="BP9" s="3795"/>
      <c r="BQ9" s="3121"/>
      <c r="BR9" s="3790"/>
      <c r="BS9" s="3790"/>
      <c r="BT9" s="3790"/>
      <c r="BU9" s="3794" t="str">
        <f>BV8&amp;"-"&amp;BX8</f>
        <v>-</v>
      </c>
      <c r="BV9" s="3795"/>
      <c r="BW9" s="3121"/>
      <c r="BX9" s="3795"/>
      <c r="BY9" s="3121"/>
      <c r="BZ9" s="3790"/>
      <c r="CA9" s="3790"/>
      <c r="CB9" s="3790"/>
      <c r="CC9" s="3794" t="str">
        <f>CD8&amp;"-"&amp;CF8</f>
        <v>-</v>
      </c>
      <c r="CD9" s="3795"/>
      <c r="CE9" s="3121"/>
      <c r="CF9" s="3795"/>
      <c r="CG9" s="3121"/>
      <c r="CH9" s="3790"/>
      <c r="CI9" s="3790"/>
      <c r="CJ9" s="3790"/>
      <c r="CK9" s="3794" t="str">
        <f>CL8&amp;"-"&amp;CN8</f>
        <v>-</v>
      </c>
      <c r="CL9" s="3795"/>
      <c r="CM9" s="3121"/>
      <c r="CN9" s="3795"/>
      <c r="CO9" s="3121"/>
      <c r="CP9" s="390"/>
      <c r="CQ9" s="2319"/>
      <c r="CS9" s="565"/>
      <c r="CT9" s="565" t="str">
        <f>IF(T9="","",T9)</f>
        <v/>
      </c>
      <c r="CU9" s="565"/>
      <c r="CV9" s="565"/>
      <c r="CW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420</v>
      </c>
      <c r="U10" s="432"/>
      <c r="V10" s="432"/>
      <c r="W10" s="432"/>
      <c r="X10" s="432"/>
      <c r="Y10" s="432"/>
      <c r="Z10" s="432"/>
      <c r="AA10" s="432"/>
      <c r="AB10" s="432"/>
      <c r="AC10" s="432"/>
      <c r="AD10" s="432"/>
      <c r="AE10" s="432"/>
      <c r="AF10" s="432"/>
      <c r="AG10" s="432"/>
      <c r="AH10" s="432"/>
      <c r="AI10" s="432"/>
      <c r="AJ10" s="432"/>
      <c r="AK10" s="432"/>
      <c r="AL10" s="3796"/>
      <c r="AM10" s="3797"/>
      <c r="AN10" s="3798"/>
      <c r="AO10" s="3799"/>
      <c r="AP10" s="3800"/>
      <c r="AQ10" s="3801"/>
      <c r="AR10" s="3802"/>
      <c r="AS10" s="3803"/>
      <c r="AT10" s="3804"/>
      <c r="AU10" s="3805"/>
      <c r="AV10" s="3806"/>
      <c r="AW10" s="3807"/>
      <c r="AX10" s="3808"/>
      <c r="AY10" s="3809"/>
      <c r="AZ10" s="3810"/>
      <c r="BA10" s="3811"/>
      <c r="BB10" s="3812"/>
      <c r="BC10" s="3813"/>
      <c r="BD10" s="3814"/>
      <c r="BE10" s="3815"/>
      <c r="BF10" s="3816"/>
      <c r="BG10" s="3817"/>
      <c r="BH10" s="3818"/>
      <c r="BI10" s="3819"/>
      <c r="BJ10" s="3820"/>
      <c r="BK10" s="3821"/>
      <c r="BL10" s="3822"/>
      <c r="BM10" s="3823"/>
      <c r="BN10" s="3824"/>
      <c r="BO10" s="3825"/>
      <c r="BP10" s="3826"/>
      <c r="BQ10" s="3827"/>
      <c r="BR10" s="3828"/>
      <c r="BS10" s="3829"/>
      <c r="BT10" s="3830"/>
      <c r="BU10" s="3831"/>
      <c r="BV10" s="3832"/>
      <c r="BW10" s="3833"/>
      <c r="BX10" s="3834"/>
      <c r="BY10" s="3835"/>
      <c r="BZ10" s="3836"/>
      <c r="CA10" s="3837"/>
      <c r="CB10" s="3838"/>
      <c r="CC10" s="3839"/>
      <c r="CD10" s="3840"/>
      <c r="CE10" s="3841"/>
      <c r="CF10" s="3842"/>
      <c r="CG10" s="3843"/>
      <c r="CH10" s="3844"/>
      <c r="CI10" s="3845"/>
      <c r="CJ10" s="3846"/>
      <c r="CK10" s="3847"/>
      <c r="CL10" s="3848"/>
      <c r="CM10" s="3849"/>
      <c r="CN10" s="3850"/>
      <c r="CO10" s="6524"/>
      <c r="CP10" s="389"/>
      <c r="CQ10" s="2320"/>
      <c r="CS10" s="565"/>
      <c r="CT10" s="565" t="str">
        <f>IF(T10="","",T10)</f>
        <v>Добавить вид теплоносителя (параметры теплоносителя)</v>
      </c>
      <c r="CU10" s="565"/>
      <c r="CV10" s="565"/>
      <c r="CW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421</v>
      </c>
      <c r="U11" s="432"/>
      <c r="V11" s="432"/>
      <c r="W11" s="432"/>
      <c r="X11" s="432"/>
      <c r="Y11" s="432"/>
      <c r="Z11" s="432"/>
      <c r="AA11" s="432"/>
      <c r="AB11" s="432"/>
      <c r="AC11" s="431"/>
      <c r="AD11" s="432"/>
      <c r="AE11" s="432"/>
      <c r="AF11" s="432"/>
      <c r="AG11" s="432"/>
      <c r="AH11" s="432"/>
      <c r="AI11" s="432"/>
      <c r="AJ11" s="432"/>
      <c r="AK11" s="431"/>
      <c r="AL11" s="3852"/>
      <c r="AM11" s="3853"/>
      <c r="AN11" s="3854"/>
      <c r="AO11" s="3855"/>
      <c r="AP11" s="3856"/>
      <c r="AQ11" s="3857"/>
      <c r="AR11" s="3858"/>
      <c r="AS11" s="3859"/>
      <c r="AT11" s="3860"/>
      <c r="AU11" s="3861"/>
      <c r="AV11" s="3862"/>
      <c r="AW11" s="3863"/>
      <c r="AX11" s="3864"/>
      <c r="AY11" s="3865"/>
      <c r="AZ11" s="3866"/>
      <c r="BA11" s="3867"/>
      <c r="BB11" s="3868"/>
      <c r="BC11" s="3869"/>
      <c r="BD11" s="3870"/>
      <c r="BE11" s="3871"/>
      <c r="BF11" s="3872"/>
      <c r="BG11" s="3873"/>
      <c r="BH11" s="3874"/>
      <c r="BI11" s="3875"/>
      <c r="BJ11" s="3876"/>
      <c r="BK11" s="3877"/>
      <c r="BL11" s="3878"/>
      <c r="BM11" s="3879"/>
      <c r="BN11" s="3880"/>
      <c r="BO11" s="3881"/>
      <c r="BP11" s="3882"/>
      <c r="BQ11" s="3883"/>
      <c r="BR11" s="3884"/>
      <c r="BS11" s="3885"/>
      <c r="BT11" s="3886"/>
      <c r="BU11" s="3887"/>
      <c r="BV11" s="3888"/>
      <c r="BW11" s="3889"/>
      <c r="BX11" s="3890"/>
      <c r="BY11" s="3891"/>
      <c r="BZ11" s="3892"/>
      <c r="CA11" s="3893"/>
      <c r="CB11" s="3894"/>
      <c r="CC11" s="3895"/>
      <c r="CD11" s="3896"/>
      <c r="CE11" s="3897"/>
      <c r="CF11" s="3898"/>
      <c r="CG11" s="3899"/>
      <c r="CH11" s="3900"/>
      <c r="CI11" s="3901"/>
      <c r="CJ11" s="3902"/>
      <c r="CK11" s="3903"/>
      <c r="CL11" s="3904"/>
      <c r="CM11" s="3905"/>
      <c r="CN11" s="3906"/>
      <c r="CO11" s="6525"/>
      <c r="CP11" s="432"/>
      <c r="CQ11" s="368"/>
      <c r="CS11" s="565"/>
      <c r="CT11" s="565" t="str">
        <f>IF(T11="","",T11)</f>
        <v>Добавить группу потребителей</v>
      </c>
      <c r="CU11" s="565"/>
      <c r="CV11" s="565"/>
      <c r="CW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422</v>
      </c>
      <c r="U12" s="432"/>
      <c r="V12" s="432"/>
      <c r="W12" s="432"/>
      <c r="X12" s="432"/>
      <c r="Y12" s="432"/>
      <c r="Z12" s="432"/>
      <c r="AA12" s="432"/>
      <c r="AB12" s="432"/>
      <c r="AC12" s="431"/>
      <c r="AD12" s="432"/>
      <c r="AE12" s="432"/>
      <c r="AF12" s="432"/>
      <c r="AG12" s="432"/>
      <c r="AH12" s="432"/>
      <c r="AI12" s="432"/>
      <c r="AJ12" s="432"/>
      <c r="AK12" s="431"/>
      <c r="AL12" s="3908"/>
      <c r="AM12" s="3909"/>
      <c r="AN12" s="3910"/>
      <c r="AO12" s="3911"/>
      <c r="AP12" s="3912"/>
      <c r="AQ12" s="3913"/>
      <c r="AR12" s="3914"/>
      <c r="AS12" s="3915"/>
      <c r="AT12" s="3916"/>
      <c r="AU12" s="3917"/>
      <c r="AV12" s="3918"/>
      <c r="AW12" s="3919"/>
      <c r="AX12" s="3920"/>
      <c r="AY12" s="3921"/>
      <c r="AZ12" s="3922"/>
      <c r="BA12" s="3923"/>
      <c r="BB12" s="3924"/>
      <c r="BC12" s="3925"/>
      <c r="BD12" s="3926"/>
      <c r="BE12" s="3927"/>
      <c r="BF12" s="3928"/>
      <c r="BG12" s="3929"/>
      <c r="BH12" s="3930"/>
      <c r="BI12" s="3931"/>
      <c r="BJ12" s="3932"/>
      <c r="BK12" s="3933"/>
      <c r="BL12" s="3934"/>
      <c r="BM12" s="3935"/>
      <c r="BN12" s="3936"/>
      <c r="BO12" s="3937"/>
      <c r="BP12" s="3938"/>
      <c r="BQ12" s="3939"/>
      <c r="BR12" s="3940"/>
      <c r="BS12" s="3941"/>
      <c r="BT12" s="3942"/>
      <c r="BU12" s="3943"/>
      <c r="BV12" s="3944"/>
      <c r="BW12" s="3945"/>
      <c r="BX12" s="3946"/>
      <c r="BY12" s="3947"/>
      <c r="BZ12" s="3948"/>
      <c r="CA12" s="3949"/>
      <c r="CB12" s="3950"/>
      <c r="CC12" s="3951"/>
      <c r="CD12" s="3952"/>
      <c r="CE12" s="3953"/>
      <c r="CF12" s="3954"/>
      <c r="CG12" s="3955"/>
      <c r="CH12" s="3956"/>
      <c r="CI12" s="3957"/>
      <c r="CJ12" s="3958"/>
      <c r="CK12" s="3959"/>
      <c r="CL12" s="3960"/>
      <c r="CM12" s="3961"/>
      <c r="CN12" s="3962"/>
      <c r="CO12" s="6526"/>
      <c r="CP12" s="432"/>
      <c r="CQ12" s="368"/>
      <c r="CS12" s="565"/>
      <c r="CT12" s="565" t="str">
        <f>IF(T12="","",T12)</f>
        <v>Добавить схему подключения</v>
      </c>
      <c r="CU12" s="565"/>
      <c r="CV12" s="565"/>
      <c r="CW12" s="1220">
        <v>0</v>
      </c>
    </row>
    <row s="5305"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3964"/>
      <c r="AM13" s="3964"/>
      <c r="AN13" s="3964"/>
      <c r="AO13" s="3964"/>
      <c r="AP13" s="3964"/>
      <c r="AQ13" s="3964"/>
      <c r="AR13" s="3964"/>
      <c r="AS13" s="3964"/>
      <c r="AT13" s="3964"/>
      <c r="AU13" s="3964"/>
      <c r="AV13" s="3964"/>
      <c r="AW13" s="3964"/>
      <c r="AX13" s="3964"/>
      <c r="AY13" s="3964"/>
      <c r="AZ13" s="3964"/>
      <c r="BA13" s="3964"/>
      <c r="BB13" s="3964"/>
      <c r="BC13" s="3964"/>
      <c r="BD13" s="3964"/>
      <c r="BE13" s="3964"/>
      <c r="BF13" s="3964"/>
      <c r="BG13" s="3964"/>
      <c r="BH13" s="3964"/>
      <c r="BI13" s="3964"/>
      <c r="BJ13" s="3964"/>
      <c r="BK13" s="3964"/>
      <c r="BL13" s="3964"/>
      <c r="BM13" s="3964"/>
      <c r="BN13" s="3964"/>
      <c r="BO13" s="3964"/>
      <c r="BP13" s="3964"/>
      <c r="BQ13" s="3964"/>
      <c r="BR13" s="3964"/>
      <c r="BS13" s="3964"/>
      <c r="BT13" s="3964"/>
      <c r="BU13" s="3964"/>
      <c r="BV13" s="3964"/>
      <c r="BW13" s="3964"/>
      <c r="BX13" s="3964"/>
      <c r="BY13" s="3964"/>
      <c r="BZ13" s="3964"/>
      <c r="CA13" s="3964"/>
      <c r="CB13" s="3964"/>
      <c r="CC13" s="3964"/>
      <c r="CD13" s="3964"/>
      <c r="CE13" s="3964"/>
      <c r="CF13" s="3964"/>
      <c r="CG13" s="3964"/>
      <c r="CH13" s="3964"/>
      <c r="CI13" s="3964"/>
      <c r="CJ13" s="3964"/>
      <c r="CK13" s="3964"/>
      <c r="CL13" s="3964"/>
      <c r="CM13" s="3964"/>
      <c r="CN13" s="3964"/>
      <c r="CO13" s="6527"/>
      <c r="CP13" s="1385"/>
      <c r="CQ13" s="1385"/>
      <c r="CS13" s="854"/>
      <c r="CT13" s="854" t="str">
        <f>IF(T13="","",T13)</f>
        <v>Добавить источник для дифференциации</v>
      </c>
      <c r="CU13" s="854"/>
      <c r="CV13" s="854"/>
      <c r="CW13" s="583">
        <v>0</v>
      </c>
    </row>
    <row s="5305"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3965"/>
      <c r="AM14" s="3965"/>
      <c r="AN14" s="3965"/>
      <c r="AO14" s="3965"/>
      <c r="AP14" s="3965"/>
      <c r="AQ14" s="3965"/>
      <c r="AR14" s="3965"/>
      <c r="AS14" s="3965"/>
      <c r="AT14" s="3965"/>
      <c r="AU14" s="3965"/>
      <c r="AV14" s="3965"/>
      <c r="AW14" s="3965"/>
      <c r="AX14" s="3965"/>
      <c r="AY14" s="3965"/>
      <c r="AZ14" s="3965"/>
      <c r="BA14" s="3965"/>
      <c r="BB14" s="3965"/>
      <c r="BC14" s="3965"/>
      <c r="BD14" s="3965"/>
      <c r="BE14" s="3965"/>
      <c r="BF14" s="3965"/>
      <c r="BG14" s="3965"/>
      <c r="BH14" s="3965"/>
      <c r="BI14" s="3965"/>
      <c r="BJ14" s="3965"/>
      <c r="BK14" s="3965"/>
      <c r="BL14" s="3965"/>
      <c r="BM14" s="3965"/>
      <c r="BN14" s="3965"/>
      <c r="BO14" s="3965"/>
      <c r="BP14" s="3965"/>
      <c r="BQ14" s="3965"/>
      <c r="BR14" s="3965"/>
      <c r="BS14" s="3965"/>
      <c r="BT14" s="3965"/>
      <c r="BU14" s="3965"/>
      <c r="BV14" s="3965"/>
      <c r="BW14" s="3965"/>
      <c r="BX14" s="3965"/>
      <c r="BY14" s="3965"/>
      <c r="BZ14" s="3965"/>
      <c r="CA14" s="3965"/>
      <c r="CB14" s="3965"/>
      <c r="CC14" s="3965"/>
      <c r="CD14" s="3965"/>
      <c r="CE14" s="3965"/>
      <c r="CF14" s="3965"/>
      <c r="CG14" s="3965"/>
      <c r="CH14" s="3965"/>
      <c r="CI14" s="3965"/>
      <c r="CJ14" s="3965"/>
      <c r="CK14" s="3965"/>
      <c r="CL14" s="3965"/>
      <c r="CM14" s="3965"/>
      <c r="CN14" s="3965"/>
      <c r="CO14" s="6528"/>
      <c r="CP14" s="1389"/>
      <c r="CQ14" s="1389"/>
      <c r="CS14" s="854"/>
      <c r="CT14" s="854" t="str">
        <f>IF(T14="","",T14)</f>
        <v>Добавить централизованную систему для дифференциации</v>
      </c>
      <c r="CU14" s="854"/>
      <c r="CV14" s="854"/>
      <c r="CW14" s="583">
        <v>0</v>
      </c>
    </row>
    <row s="5305"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3965"/>
      <c r="AM15" s="3965"/>
      <c r="AN15" s="3965"/>
      <c r="AO15" s="3965"/>
      <c r="AP15" s="3965"/>
      <c r="AQ15" s="3965"/>
      <c r="AR15" s="3965"/>
      <c r="AS15" s="3965"/>
      <c r="AT15" s="3965"/>
      <c r="AU15" s="3965"/>
      <c r="AV15" s="3965"/>
      <c r="AW15" s="3965"/>
      <c r="AX15" s="3965"/>
      <c r="AY15" s="3965"/>
      <c r="AZ15" s="3965"/>
      <c r="BA15" s="3965"/>
      <c r="BB15" s="3965"/>
      <c r="BC15" s="3965"/>
      <c r="BD15" s="3965"/>
      <c r="BE15" s="3965"/>
      <c r="BF15" s="3965"/>
      <c r="BG15" s="3965"/>
      <c r="BH15" s="3965"/>
      <c r="BI15" s="3965"/>
      <c r="BJ15" s="3965"/>
      <c r="BK15" s="3965"/>
      <c r="BL15" s="3965"/>
      <c r="BM15" s="3965"/>
      <c r="BN15" s="3965"/>
      <c r="BO15" s="3965"/>
      <c r="BP15" s="3965"/>
      <c r="BQ15" s="3965"/>
      <c r="BR15" s="3965"/>
      <c r="BS15" s="3965"/>
      <c r="BT15" s="3965"/>
      <c r="BU15" s="3965"/>
      <c r="BV15" s="3965"/>
      <c r="BW15" s="3965"/>
      <c r="BX15" s="3965"/>
      <c r="BY15" s="3965"/>
      <c r="BZ15" s="3965"/>
      <c r="CA15" s="3965"/>
      <c r="CB15" s="3965"/>
      <c r="CC15" s="3965"/>
      <c r="CD15" s="3965"/>
      <c r="CE15" s="3965"/>
      <c r="CF15" s="3965"/>
      <c r="CG15" s="3965"/>
      <c r="CH15" s="3965"/>
      <c r="CI15" s="3965"/>
      <c r="CJ15" s="3965"/>
      <c r="CK15" s="3965"/>
      <c r="CL15" s="3965"/>
      <c r="CM15" s="3965"/>
      <c r="CN15" s="3965"/>
      <c r="CO15" s="6528"/>
      <c r="CP15" s="1389"/>
      <c r="CQ15" s="1389"/>
      <c r="CS15" s="854"/>
      <c r="CT15" s="854" t="str">
        <f>IF(T15="","",T15)</f>
        <v>Добавить территорию для дифференциации</v>
      </c>
      <c r="CU15" s="854"/>
      <c r="CV15" s="854"/>
      <c r="CW15" s="583">
        <v>0</v>
      </c>
    </row>
    <row customHeight="1" ht="14.25" hidden="1">
      <c r="AC16" s="392"/>
      <c r="AK16" s="392"/>
      <c r="AL16" s="3779"/>
      <c r="AM16" s="3779"/>
      <c r="AN16" s="3779"/>
      <c r="AO16" s="3779"/>
      <c r="AP16" s="3779"/>
      <c r="AQ16" s="3779"/>
      <c r="AR16" s="3779"/>
      <c r="AS16" s="3779"/>
      <c r="AT16" s="3779"/>
      <c r="AU16" s="3779"/>
      <c r="AV16" s="3779"/>
      <c r="AW16" s="3779"/>
      <c r="AX16" s="3779"/>
      <c r="AY16" s="3779"/>
      <c r="AZ16" s="3779"/>
      <c r="BA16" s="3779"/>
      <c r="BB16" s="3779"/>
      <c r="BC16" s="3779"/>
      <c r="BD16" s="3779"/>
      <c r="BE16" s="3779"/>
      <c r="BF16" s="3779"/>
      <c r="BG16" s="3779"/>
      <c r="BH16" s="3779"/>
      <c r="BI16" s="3779"/>
      <c r="BJ16" s="3779"/>
      <c r="BK16" s="3779"/>
      <c r="BL16" s="3779"/>
      <c r="BM16" s="3779"/>
      <c r="BN16" s="3779"/>
      <c r="BO16" s="3779"/>
      <c r="BP16" s="3779"/>
      <c r="BQ16" s="3779"/>
      <c r="BR16" s="3779"/>
      <c r="BS16" s="3779"/>
      <c r="BT16" s="3779"/>
      <c r="BU16" s="3779"/>
      <c r="BV16" s="3779"/>
      <c r="BW16" s="3779"/>
      <c r="BX16" s="3779"/>
      <c r="BY16" s="3779"/>
      <c r="BZ16" s="3779"/>
      <c r="CA16" s="3779"/>
      <c r="CB16" s="3779"/>
      <c r="CC16" s="3779"/>
      <c r="CD16" s="3779"/>
      <c r="CE16" s="3779"/>
      <c r="CF16" s="3779"/>
      <c r="CG16" s="3779"/>
      <c r="CH16" s="3779"/>
      <c r="CI16" s="3779"/>
      <c r="CJ16" s="3779"/>
      <c r="CK16" s="3779"/>
      <c r="CL16" s="3779"/>
      <c r="CM16" s="3779"/>
      <c r="CN16" s="3779"/>
      <c r="CO16" s="6520"/>
      <c r="CW16" s="1220">
        <v>0</v>
      </c>
    </row>
    <row customHeight="1" ht="14.25" hidden="1">
      <c r="AD17" s="1425"/>
      <c r="AE17" s="1425"/>
      <c r="AF17" s="1425"/>
      <c r="AG17" s="1426"/>
      <c r="AH17" s="2332"/>
      <c r="AI17" s="2333" t="s">
        <v>64</v>
      </c>
      <c r="AJ17" s="2332"/>
      <c r="AK17" s="2333" t="s">
        <v>64</v>
      </c>
      <c r="AL17" s="3779"/>
      <c r="AM17" s="3779"/>
      <c r="AN17" s="3779"/>
      <c r="AO17" s="3779"/>
      <c r="AP17" s="3779"/>
      <c r="AQ17" s="3779"/>
      <c r="AR17" s="3779"/>
      <c r="AS17" s="3779"/>
      <c r="AT17" s="3779"/>
      <c r="AU17" s="3779"/>
      <c r="AV17" s="3779"/>
      <c r="AW17" s="3779"/>
      <c r="AX17" s="3779"/>
      <c r="AY17" s="3779"/>
      <c r="AZ17" s="3779"/>
      <c r="BA17" s="3779"/>
      <c r="BB17" s="3779"/>
      <c r="BC17" s="3779"/>
      <c r="BD17" s="3779"/>
      <c r="BE17" s="3779"/>
      <c r="BF17" s="3779"/>
      <c r="BG17" s="3779"/>
      <c r="BH17" s="3779"/>
      <c r="BI17" s="3779"/>
      <c r="BJ17" s="3779"/>
      <c r="BK17" s="3779"/>
      <c r="BL17" s="3779"/>
      <c r="BM17" s="3779"/>
      <c r="BN17" s="3779"/>
      <c r="BO17" s="3779"/>
      <c r="BP17" s="3779"/>
      <c r="BQ17" s="3779"/>
      <c r="BR17" s="3779"/>
      <c r="BS17" s="3779"/>
      <c r="BT17" s="3779"/>
      <c r="BU17" s="3779"/>
      <c r="BV17" s="3779"/>
      <c r="BW17" s="3779"/>
      <c r="BX17" s="3779"/>
      <c r="BY17" s="3779"/>
      <c r="BZ17" s="3779"/>
      <c r="CA17" s="3779"/>
      <c r="CB17" s="3779"/>
      <c r="CC17" s="3779"/>
      <c r="CD17" s="3779"/>
      <c r="CE17" s="3779"/>
      <c r="CF17" s="3779"/>
      <c r="CG17" s="3779"/>
      <c r="CH17" s="3779"/>
      <c r="CI17" s="3779"/>
      <c r="CJ17" s="3779"/>
      <c r="CK17" s="3779"/>
      <c r="CL17" s="3779"/>
      <c r="CM17" s="3779"/>
      <c r="CN17" s="3779"/>
      <c r="CO17" s="6520"/>
      <c r="CW17" s="1220">
        <v>0</v>
      </c>
    </row>
    <row customHeight="1" ht="14.25" hidden="1">
      <c r="AD18" s="1425"/>
      <c r="AE18" s="1425"/>
      <c r="AF18" s="1425"/>
      <c r="AG18" s="393" t="str">
        <f>AH17&amp;"-"&amp;AJ17</f>
        <v>-</v>
      </c>
      <c r="AH18" s="2333"/>
      <c r="AI18" s="2333"/>
      <c r="AJ18" s="2333"/>
      <c r="AK18" s="2333"/>
      <c r="AL18" s="3779"/>
      <c r="AM18" s="3779"/>
      <c r="AN18" s="3779"/>
      <c r="AO18" s="3779"/>
      <c r="AP18" s="3779"/>
      <c r="AQ18" s="3779"/>
      <c r="AR18" s="3779"/>
      <c r="AS18" s="3779"/>
      <c r="AT18" s="3779"/>
      <c r="AU18" s="3779"/>
      <c r="AV18" s="3779"/>
      <c r="AW18" s="3779"/>
      <c r="AX18" s="3779"/>
      <c r="AY18" s="3779"/>
      <c r="AZ18" s="3779"/>
      <c r="BA18" s="3779"/>
      <c r="BB18" s="3779"/>
      <c r="BC18" s="3779"/>
      <c r="BD18" s="3779"/>
      <c r="BE18" s="3779"/>
      <c r="BF18" s="3779"/>
      <c r="BG18" s="3779"/>
      <c r="BH18" s="3779"/>
      <c r="BI18" s="3779"/>
      <c r="BJ18" s="3779"/>
      <c r="BK18" s="3779"/>
      <c r="BL18" s="3779"/>
      <c r="BM18" s="3779"/>
      <c r="BN18" s="3779"/>
      <c r="BO18" s="3779"/>
      <c r="BP18" s="3779"/>
      <c r="BQ18" s="3779"/>
      <c r="BR18" s="3779"/>
      <c r="BS18" s="3779"/>
      <c r="BT18" s="3779"/>
      <c r="BU18" s="3779"/>
      <c r="BV18" s="3779"/>
      <c r="BW18" s="3779"/>
      <c r="BX18" s="3779"/>
      <c r="BY18" s="3779"/>
      <c r="BZ18" s="3779"/>
      <c r="CA18" s="3779"/>
      <c r="CB18" s="3779"/>
      <c r="CC18" s="3779"/>
      <c r="CD18" s="3779"/>
      <c r="CE18" s="3779"/>
      <c r="CF18" s="3779"/>
      <c r="CG18" s="3779"/>
      <c r="CH18" s="3779"/>
      <c r="CI18" s="3779"/>
      <c r="CJ18" s="3779"/>
      <c r="CK18" s="3779"/>
      <c r="CL18" s="3779"/>
      <c r="CM18" s="3779"/>
      <c r="CN18" s="3779"/>
      <c r="CO18" s="6520"/>
      <c r="CW18" s="1220">
        <v>0</v>
      </c>
    </row>
    <row customHeight="1" ht="14.25" hidden="1">
      <c r="AK19" s="392"/>
      <c r="AL19" s="3779"/>
      <c r="AM19" s="3779"/>
      <c r="AN19" s="3779"/>
      <c r="AO19" s="3779"/>
      <c r="AP19" s="3779"/>
      <c r="AQ19" s="3779"/>
      <c r="AR19" s="3779"/>
      <c r="AS19" s="3779"/>
      <c r="AT19" s="3779"/>
      <c r="AU19" s="3779"/>
      <c r="AV19" s="3779"/>
      <c r="AW19" s="3779"/>
      <c r="AX19" s="3779"/>
      <c r="AY19" s="3779"/>
      <c r="AZ19" s="3779"/>
      <c r="BA19" s="3779"/>
      <c r="BB19" s="3779"/>
      <c r="BC19" s="3779"/>
      <c r="BD19" s="3779"/>
      <c r="BE19" s="3779"/>
      <c r="BF19" s="3779"/>
      <c r="BG19" s="3779"/>
      <c r="BH19" s="3779"/>
      <c r="BI19" s="3779"/>
      <c r="BJ19" s="3779"/>
      <c r="BK19" s="3779"/>
      <c r="BL19" s="3779"/>
      <c r="BM19" s="3779"/>
      <c r="BN19" s="3779"/>
      <c r="BO19" s="3779"/>
      <c r="BP19" s="3779"/>
      <c r="BQ19" s="3779"/>
      <c r="BR19" s="3779"/>
      <c r="BS19" s="3779"/>
      <c r="BT19" s="3779"/>
      <c r="BU19" s="3779"/>
      <c r="BV19" s="3779"/>
      <c r="BW19" s="3779"/>
      <c r="BX19" s="3779"/>
      <c r="BY19" s="3779"/>
      <c r="BZ19" s="3779"/>
      <c r="CA19" s="3779"/>
      <c r="CB19" s="3779"/>
      <c r="CC19" s="3779"/>
      <c r="CD19" s="3779"/>
      <c r="CE19" s="3779"/>
      <c r="CF19" s="3779"/>
      <c r="CG19" s="3779"/>
      <c r="CH19" s="3779"/>
      <c r="CI19" s="3779"/>
      <c r="CJ19" s="3779"/>
      <c r="CK19" s="3779"/>
      <c r="CL19" s="3779"/>
      <c r="CM19" s="3779"/>
      <c r="CN19" s="3779"/>
      <c r="CO19" s="6520"/>
      <c r="CW19" s="1220">
        <v>0</v>
      </c>
    </row>
    <row s="5745" customFormat="1" customHeight="1" ht="22.5" hidden="1">
      <c r="L20" s="1394"/>
      <c r="M20" s="1427"/>
      <c r="N20" s="1427"/>
      <c r="O20" s="1432" t="s">
        <v>423</v>
      </c>
      <c r="P20" s="1427"/>
      <c r="Q20" s="1436"/>
      <c r="R20" s="1436"/>
      <c r="S20" s="794"/>
      <c r="Z20" s="1432"/>
      <c r="AB20" s="1432"/>
      <c r="AC20" s="1431"/>
      <c r="AH20" s="1432"/>
      <c r="AJ20" s="1432"/>
      <c r="AK20" s="1431"/>
      <c r="AL20" s="3966"/>
      <c r="AM20" s="3966"/>
      <c r="AN20" s="3966"/>
      <c r="AO20" s="3966"/>
      <c r="AP20" s="3967"/>
      <c r="AQ20" s="3966"/>
      <c r="AR20" s="3967"/>
      <c r="AS20" s="3966"/>
      <c r="AT20" s="3966"/>
      <c r="AU20" s="3966"/>
      <c r="AV20" s="3966"/>
      <c r="AW20" s="3966"/>
      <c r="AX20" s="3967"/>
      <c r="AY20" s="3966"/>
      <c r="AZ20" s="3967"/>
      <c r="BA20" s="3966"/>
      <c r="BB20" s="3966"/>
      <c r="BC20" s="3966"/>
      <c r="BD20" s="3966"/>
      <c r="BE20" s="3966"/>
      <c r="BF20" s="3967"/>
      <c r="BG20" s="3966"/>
      <c r="BH20" s="3967"/>
      <c r="BI20" s="3966"/>
      <c r="BJ20" s="3966"/>
      <c r="BK20" s="3966"/>
      <c r="BL20" s="3966"/>
      <c r="BM20" s="3966"/>
      <c r="BN20" s="3967"/>
      <c r="BO20" s="3966"/>
      <c r="BP20" s="3967"/>
      <c r="BQ20" s="3966"/>
      <c r="BR20" s="3966"/>
      <c r="BS20" s="3966"/>
      <c r="BT20" s="3966"/>
      <c r="BU20" s="3966"/>
      <c r="BV20" s="3967"/>
      <c r="BW20" s="3966"/>
      <c r="BX20" s="3967"/>
      <c r="BY20" s="3966"/>
      <c r="BZ20" s="3966"/>
      <c r="CA20" s="3966"/>
      <c r="CB20" s="3966"/>
      <c r="CC20" s="3966"/>
      <c r="CD20" s="3967"/>
      <c r="CE20" s="3966"/>
      <c r="CF20" s="3967"/>
      <c r="CG20" s="3966"/>
      <c r="CH20" s="3966"/>
      <c r="CI20" s="3966"/>
      <c r="CJ20" s="3966"/>
      <c r="CK20" s="3966"/>
      <c r="CL20" s="3967"/>
      <c r="CM20" s="3966"/>
      <c r="CN20" s="3967"/>
      <c r="CO20" s="6529"/>
      <c r="CR20" s="576"/>
      <c r="CS20" s="576"/>
      <c r="CT20" s="576"/>
      <c r="CU20" s="576"/>
      <c r="CV20" s="576"/>
      <c r="CW20" s="1225">
        <v>0</v>
      </c>
    </row>
    <row s="5745" customFormat="1" customHeight="1" ht="14.25" hidden="1">
      <c r="L21" s="1394"/>
      <c r="M21" s="1427"/>
      <c r="N21" s="1427"/>
      <c r="O21" s="1427"/>
      <c r="P21" s="1427"/>
      <c r="Q21" s="1436"/>
      <c r="R21" s="1436"/>
      <c r="S21" s="794"/>
      <c r="AC21" s="1431"/>
      <c r="AK21" s="1431"/>
      <c r="AL21" s="3966"/>
      <c r="AM21" s="3966"/>
      <c r="AN21" s="3966"/>
      <c r="AO21" s="3966"/>
      <c r="AP21" s="3966"/>
      <c r="AQ21" s="3966"/>
      <c r="AR21" s="3966"/>
      <c r="AS21" s="3966"/>
      <c r="AT21" s="3966"/>
      <c r="AU21" s="3966"/>
      <c r="AV21" s="3966"/>
      <c r="AW21" s="3966"/>
      <c r="AX21" s="3966"/>
      <c r="AY21" s="3966"/>
      <c r="AZ21" s="3966"/>
      <c r="BA21" s="3966"/>
      <c r="BB21" s="3966"/>
      <c r="BC21" s="3966"/>
      <c r="BD21" s="3966"/>
      <c r="BE21" s="3966"/>
      <c r="BF21" s="3966"/>
      <c r="BG21" s="3966"/>
      <c r="BH21" s="3966"/>
      <c r="BI21" s="3966"/>
      <c r="BJ21" s="3966"/>
      <c r="BK21" s="3966"/>
      <c r="BL21" s="3966"/>
      <c r="BM21" s="3966"/>
      <c r="BN21" s="3966"/>
      <c r="BO21" s="3966"/>
      <c r="BP21" s="3966"/>
      <c r="BQ21" s="3966"/>
      <c r="BR21" s="3966"/>
      <c r="BS21" s="3966"/>
      <c r="BT21" s="3966"/>
      <c r="BU21" s="3966"/>
      <c r="BV21" s="3966"/>
      <c r="BW21" s="3966"/>
      <c r="BX21" s="3966"/>
      <c r="BY21" s="3966"/>
      <c r="BZ21" s="3966"/>
      <c r="CA21" s="3966"/>
      <c r="CB21" s="3966"/>
      <c r="CC21" s="3966"/>
      <c r="CD21" s="3966"/>
      <c r="CE21" s="3966"/>
      <c r="CF21" s="3966"/>
      <c r="CG21" s="3966"/>
      <c r="CH21" s="3966"/>
      <c r="CI21" s="3966"/>
      <c r="CJ21" s="3966"/>
      <c r="CK21" s="3966"/>
      <c r="CL21" s="3966"/>
      <c r="CM21" s="3966"/>
      <c r="CN21" s="3966"/>
      <c r="CO21" s="6529"/>
      <c r="CR21" s="576"/>
      <c r="CS21" s="576"/>
      <c r="CT21" s="576"/>
      <c r="CU21" s="576"/>
      <c r="CV21" s="576"/>
      <c r="CW21" s="1225">
        <v>0</v>
      </c>
    </row>
    <row s="5745" customFormat="1" customHeight="1" ht="14.25" hidden="1">
      <c r="L22" s="1394"/>
      <c r="M22" s="1427"/>
      <c r="N22" s="1427"/>
      <c r="O22" s="1429" t="s">
        <v>424</v>
      </c>
      <c r="P22" s="1427"/>
      <c r="Q22" s="1436"/>
      <c r="R22" s="1436"/>
      <c r="S22" s="794"/>
      <c r="T22" s="1225" t="s">
        <v>425</v>
      </c>
      <c r="AA22" s="251" t="s">
        <v>426</v>
      </c>
      <c r="AC22" s="251" t="s">
        <v>427</v>
      </c>
      <c r="AD22" s="1225" t="s">
        <v>425</v>
      </c>
      <c r="AI22" s="251" t="s">
        <v>428</v>
      </c>
      <c r="AK22" s="251" t="s">
        <v>427</v>
      </c>
      <c r="AL22" s="3966"/>
      <c r="AM22" s="3966"/>
      <c r="AN22" s="3966"/>
      <c r="AO22" s="3966"/>
      <c r="AP22" s="3966"/>
      <c r="AQ22" s="3968" t="s">
        <v>426</v>
      </c>
      <c r="AR22" s="3966"/>
      <c r="AS22" s="3968" t="s">
        <v>427</v>
      </c>
      <c r="AT22" s="3966"/>
      <c r="AU22" s="3966"/>
      <c r="AV22" s="3966"/>
      <c r="AW22" s="3966"/>
      <c r="AX22" s="3966"/>
      <c r="AY22" s="3968" t="s">
        <v>426</v>
      </c>
      <c r="AZ22" s="3966"/>
      <c r="BA22" s="3968" t="s">
        <v>427</v>
      </c>
      <c r="BB22" s="3966"/>
      <c r="BC22" s="3966"/>
      <c r="BD22" s="3966"/>
      <c r="BE22" s="3966"/>
      <c r="BF22" s="3966"/>
      <c r="BG22" s="3968" t="s">
        <v>426</v>
      </c>
      <c r="BH22" s="3966"/>
      <c r="BI22" s="3968" t="s">
        <v>427</v>
      </c>
      <c r="BJ22" s="3966"/>
      <c r="BK22" s="3966"/>
      <c r="BL22" s="3966"/>
      <c r="BM22" s="3966"/>
      <c r="BN22" s="3966"/>
      <c r="BO22" s="3968" t="s">
        <v>426</v>
      </c>
      <c r="BP22" s="3966"/>
      <c r="BQ22" s="3968" t="s">
        <v>427</v>
      </c>
      <c r="BR22" s="3966"/>
      <c r="BS22" s="3966"/>
      <c r="BT22" s="3966"/>
      <c r="BU22" s="3966"/>
      <c r="BV22" s="3966"/>
      <c r="BW22" s="3968" t="s">
        <v>426</v>
      </c>
      <c r="BX22" s="3966"/>
      <c r="BY22" s="3968" t="s">
        <v>427</v>
      </c>
      <c r="BZ22" s="3966"/>
      <c r="CA22" s="3966"/>
      <c r="CB22" s="3966"/>
      <c r="CC22" s="3966"/>
      <c r="CD22" s="3966"/>
      <c r="CE22" s="3968" t="s">
        <v>426</v>
      </c>
      <c r="CF22" s="3966"/>
      <c r="CG22" s="3968" t="s">
        <v>427</v>
      </c>
      <c r="CH22" s="3966"/>
      <c r="CI22" s="3966"/>
      <c r="CJ22" s="3966"/>
      <c r="CK22" s="3966"/>
      <c r="CL22" s="3966"/>
      <c r="CM22" s="3968" t="s">
        <v>426</v>
      </c>
      <c r="CN22" s="3966"/>
      <c r="CO22" s="6530" t="s">
        <v>427</v>
      </c>
      <c r="CR22" s="576"/>
      <c r="CS22" s="576"/>
      <c r="CT22" s="576"/>
      <c r="CU22" s="576"/>
      <c r="CV22" s="576"/>
      <c r="CW22" s="1225">
        <v>0</v>
      </c>
    </row>
    <row customHeight="1" ht="14.25" hidden="1">
      <c r="O23" s="1429"/>
      <c r="AL23" s="3779"/>
      <c r="AM23" s="3779"/>
      <c r="AN23" s="3779"/>
      <c r="AO23" s="3779"/>
      <c r="AP23" s="3779"/>
      <c r="AQ23" s="3779"/>
      <c r="AR23" s="3779"/>
      <c r="AS23" s="3779"/>
      <c r="AT23" s="3779"/>
      <c r="AU23" s="3779"/>
      <c r="AV23" s="3779"/>
      <c r="AW23" s="3779"/>
      <c r="AX23" s="3779"/>
      <c r="AY23" s="3779"/>
      <c r="AZ23" s="3779"/>
      <c r="BA23" s="3779"/>
      <c r="BB23" s="3779"/>
      <c r="BC23" s="3779"/>
      <c r="BD23" s="3779"/>
      <c r="BE23" s="3779"/>
      <c r="BF23" s="3779"/>
      <c r="BG23" s="3779"/>
      <c r="BH23" s="3779"/>
      <c r="BI23" s="3779"/>
      <c r="BJ23" s="3779"/>
      <c r="BK23" s="3779"/>
      <c r="BL23" s="3779"/>
      <c r="BM23" s="3779"/>
      <c r="BN23" s="3779"/>
      <c r="BO23" s="3779"/>
      <c r="BP23" s="3779"/>
      <c r="BQ23" s="3779"/>
      <c r="BR23" s="3779"/>
      <c r="BS23" s="3779"/>
      <c r="BT23" s="3779"/>
      <c r="BU23" s="3779"/>
      <c r="BV23" s="3779"/>
      <c r="BW23" s="3779"/>
      <c r="BX23" s="3779"/>
      <c r="BY23" s="3779"/>
      <c r="BZ23" s="3779"/>
      <c r="CA23" s="3779"/>
      <c r="CB23" s="3779"/>
      <c r="CC23" s="3779"/>
      <c r="CD23" s="3779"/>
      <c r="CE23" s="3779"/>
      <c r="CF23" s="3779"/>
      <c r="CG23" s="3779"/>
      <c r="CH23" s="3779"/>
      <c r="CI23" s="3779"/>
      <c r="CJ23" s="3779"/>
      <c r="CK23" s="3779"/>
      <c r="CL23" s="3779"/>
      <c r="CM23" s="3779"/>
      <c r="CN23" s="3779"/>
      <c r="CO23" s="6520"/>
      <c r="CW23" s="1220">
        <v>0</v>
      </c>
    </row>
    <row customHeight="1" ht="14.25" hidden="1">
      <c r="O24" s="1429"/>
      <c r="AL24" s="3779"/>
      <c r="AM24" s="3779"/>
      <c r="AN24" s="3779"/>
      <c r="AO24" s="3779"/>
      <c r="AP24" s="3779"/>
      <c r="AQ24" s="3779"/>
      <c r="AR24" s="3779"/>
      <c r="AS24" s="3779"/>
      <c r="AT24" s="3779"/>
      <c r="AU24" s="3779"/>
      <c r="AV24" s="3779"/>
      <c r="AW24" s="3779"/>
      <c r="AX24" s="3779"/>
      <c r="AY24" s="3779"/>
      <c r="AZ24" s="3779"/>
      <c r="BA24" s="3779"/>
      <c r="BB24" s="3779"/>
      <c r="BC24" s="3779"/>
      <c r="BD24" s="3779"/>
      <c r="BE24" s="3779"/>
      <c r="BF24" s="3779"/>
      <c r="BG24" s="3779"/>
      <c r="BH24" s="3779"/>
      <c r="BI24" s="3779"/>
      <c r="BJ24" s="3779"/>
      <c r="BK24" s="3779"/>
      <c r="BL24" s="3779"/>
      <c r="BM24" s="3779"/>
      <c r="BN24" s="3779"/>
      <c r="BO24" s="3779"/>
      <c r="BP24" s="3779"/>
      <c r="BQ24" s="3779"/>
      <c r="BR24" s="3779"/>
      <c r="BS24" s="3779"/>
      <c r="BT24" s="3779"/>
      <c r="BU24" s="3779"/>
      <c r="BV24" s="3779"/>
      <c r="BW24" s="3779"/>
      <c r="BX24" s="3779"/>
      <c r="BY24" s="3779"/>
      <c r="BZ24" s="3779"/>
      <c r="CA24" s="3779"/>
      <c r="CB24" s="3779"/>
      <c r="CC24" s="3779"/>
      <c r="CD24" s="3779"/>
      <c r="CE24" s="3779"/>
      <c r="CF24" s="3779"/>
      <c r="CG24" s="3779"/>
      <c r="CH24" s="3779"/>
      <c r="CI24" s="3779"/>
      <c r="CJ24" s="3779"/>
      <c r="CK24" s="3779"/>
      <c r="CL24" s="3779"/>
      <c r="CM24" s="3779"/>
      <c r="CN24" s="3779"/>
      <c r="CO24" s="6520"/>
      <c r="CW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3779"/>
      <c r="AM25" s="3779"/>
      <c r="AN25" s="3779"/>
      <c r="AO25" s="3779"/>
      <c r="AP25" s="3779"/>
      <c r="AQ25" s="3779"/>
      <c r="AR25" s="3779"/>
      <c r="AS25" s="3779"/>
      <c r="AT25" s="3779"/>
      <c r="AU25" s="3779"/>
      <c r="AV25" s="3779"/>
      <c r="AW25" s="3779"/>
      <c r="AX25" s="3779"/>
      <c r="AY25" s="3779"/>
      <c r="AZ25" s="3779"/>
      <c r="BA25" s="3779"/>
      <c r="BB25" s="3779"/>
      <c r="BC25" s="3779"/>
      <c r="BD25" s="3779"/>
      <c r="BE25" s="3779"/>
      <c r="BF25" s="3779"/>
      <c r="BG25" s="3779"/>
      <c r="BH25" s="3779"/>
      <c r="BI25" s="3779"/>
      <c r="BJ25" s="3779"/>
      <c r="BK25" s="3779"/>
      <c r="BL25" s="3779"/>
      <c r="BM25" s="3779"/>
      <c r="BN25" s="3779"/>
      <c r="BO25" s="3779"/>
      <c r="BP25" s="3779"/>
      <c r="BQ25" s="3779"/>
      <c r="BR25" s="3779"/>
      <c r="BS25" s="3779"/>
      <c r="BT25" s="3779"/>
      <c r="BU25" s="3779"/>
      <c r="BV25" s="3779"/>
      <c r="BW25" s="3779"/>
      <c r="BX25" s="3779"/>
      <c r="BY25" s="3779"/>
      <c r="BZ25" s="3779"/>
      <c r="CA25" s="3779"/>
      <c r="CB25" s="3779"/>
      <c r="CC25" s="3779"/>
      <c r="CD25" s="3779"/>
      <c r="CE25" s="3779"/>
      <c r="CF25" s="3779"/>
      <c r="CG25" s="3779"/>
      <c r="CH25" s="3779"/>
      <c r="CI25" s="3779"/>
      <c r="CJ25" s="3779"/>
      <c r="CK25" s="3779"/>
      <c r="CL25" s="3779"/>
      <c r="CM25" s="3779"/>
      <c r="CN25" s="3779"/>
      <c r="CO25" s="6520"/>
      <c r="CW25" s="1220">
        <v>14</v>
      </c>
    </row>
    <row customHeight="1" ht="20.833333333333332">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L26" s="3969"/>
      <c r="AM26" s="3969"/>
      <c r="AN26" s="3969"/>
      <c r="AO26" s="3969"/>
      <c r="AP26" s="3969"/>
      <c r="AQ26" s="3969"/>
      <c r="AR26" s="3969"/>
      <c r="AS26" s="3969"/>
      <c r="AT26" s="3969"/>
      <c r="AU26" s="3969"/>
      <c r="AV26" s="3969"/>
      <c r="AW26" s="3969"/>
      <c r="AX26" s="3969"/>
      <c r="AY26" s="3969"/>
      <c r="AZ26" s="3969"/>
      <c r="BA26" s="3969"/>
      <c r="BB26" s="3969"/>
      <c r="BC26" s="3969"/>
      <c r="BD26" s="3969"/>
      <c r="BE26" s="3969"/>
      <c r="BF26" s="3969"/>
      <c r="BG26" s="3969"/>
      <c r="BH26" s="3969"/>
      <c r="BI26" s="3969"/>
      <c r="BJ26" s="3969"/>
      <c r="BK26" s="3969"/>
      <c r="BL26" s="3969"/>
      <c r="BM26" s="3969"/>
      <c r="BN26" s="3969"/>
      <c r="BO26" s="3969"/>
      <c r="BP26" s="3969"/>
      <c r="BQ26" s="3969"/>
      <c r="BR26" s="3969"/>
      <c r="BS26" s="3969"/>
      <c r="BT26" s="3969"/>
      <c r="BU26" s="3969"/>
      <c r="BV26" s="3969"/>
      <c r="BW26" s="3969"/>
      <c r="BX26" s="3969"/>
      <c r="BY26" s="3969"/>
      <c r="BZ26" s="3969"/>
      <c r="CA26" s="3969"/>
      <c r="CB26" s="3969"/>
      <c r="CC26" s="3969"/>
      <c r="CD26" s="3969"/>
      <c r="CE26" s="3969"/>
      <c r="CF26" s="3969"/>
      <c r="CG26" s="3969"/>
      <c r="CH26" s="3969"/>
      <c r="CI26" s="3969"/>
      <c r="CJ26" s="3969"/>
      <c r="CK26" s="3969"/>
      <c r="CL26" s="3969"/>
      <c r="CM26" s="3969"/>
      <c r="CN26" s="3969"/>
      <c r="CO26" s="6531"/>
      <c r="CW26" s="1220">
        <v>14</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L27" s="3970"/>
      <c r="AM27" s="3970"/>
      <c r="AN27" s="3970"/>
      <c r="AO27" s="3970"/>
      <c r="AP27" s="3970"/>
      <c r="AQ27" s="3970"/>
      <c r="AR27" s="3970"/>
      <c r="AS27" s="3970"/>
      <c r="AT27" s="3970"/>
      <c r="AU27" s="3970"/>
      <c r="AV27" s="3970"/>
      <c r="AW27" s="3970"/>
      <c r="AX27" s="3970"/>
      <c r="AY27" s="3970"/>
      <c r="AZ27" s="3970"/>
      <c r="BA27" s="3970"/>
      <c r="BB27" s="3970"/>
      <c r="BC27" s="3970"/>
      <c r="BD27" s="3970"/>
      <c r="BE27" s="3970"/>
      <c r="BF27" s="3970"/>
      <c r="BG27" s="3970"/>
      <c r="BH27" s="3970"/>
      <c r="BI27" s="3970"/>
      <c r="BJ27" s="3970"/>
      <c r="BK27" s="3970"/>
      <c r="BL27" s="3970"/>
      <c r="BM27" s="3970"/>
      <c r="BN27" s="3970"/>
      <c r="BO27" s="3970"/>
      <c r="BP27" s="3970"/>
      <c r="BQ27" s="3970"/>
      <c r="BR27" s="3970"/>
      <c r="BS27" s="3970"/>
      <c r="BT27" s="3970"/>
      <c r="BU27" s="3970"/>
      <c r="BV27" s="3970"/>
      <c r="BW27" s="3970"/>
      <c r="BX27" s="3970"/>
      <c r="BY27" s="3970"/>
      <c r="BZ27" s="3970"/>
      <c r="CA27" s="3970"/>
      <c r="CB27" s="3970"/>
      <c r="CC27" s="3970"/>
      <c r="CD27" s="3970"/>
      <c r="CE27" s="3970"/>
      <c r="CF27" s="3970"/>
      <c r="CG27" s="3970"/>
      <c r="CH27" s="3970"/>
      <c r="CI27" s="3970"/>
      <c r="CJ27" s="3970"/>
      <c r="CK27" s="3970"/>
      <c r="CL27" s="3970"/>
      <c r="CM27" s="3970"/>
      <c r="CN27" s="3970"/>
      <c r="CO27" s="6532"/>
      <c r="CW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971"/>
      <c r="AM28" s="3971"/>
      <c r="AN28" s="3971"/>
      <c r="AO28" s="3971"/>
      <c r="AP28" s="3971"/>
      <c r="AQ28" s="3971"/>
      <c r="AR28" s="3971"/>
      <c r="AS28" s="3971"/>
      <c r="AT28" s="3971"/>
      <c r="AU28" s="3971"/>
      <c r="AV28" s="3971"/>
      <c r="AW28" s="3971"/>
      <c r="AX28" s="3971"/>
      <c r="AY28" s="3971"/>
      <c r="AZ28" s="3971"/>
      <c r="BA28" s="3971"/>
      <c r="BB28" s="3971"/>
      <c r="BC28" s="3971"/>
      <c r="BD28" s="3971"/>
      <c r="BE28" s="3971"/>
      <c r="BF28" s="3971"/>
      <c r="BG28" s="3971"/>
      <c r="BH28" s="3971"/>
      <c r="BI28" s="3971"/>
      <c r="BJ28" s="3971"/>
      <c r="BK28" s="3971"/>
      <c r="BL28" s="3971"/>
      <c r="BM28" s="3971"/>
      <c r="BN28" s="3971"/>
      <c r="BO28" s="3971"/>
      <c r="BP28" s="3971"/>
      <c r="BQ28" s="3971"/>
      <c r="BR28" s="3971"/>
      <c r="BS28" s="3971"/>
      <c r="BT28" s="3971"/>
      <c r="BU28" s="3971"/>
      <c r="BV28" s="3971"/>
      <c r="BW28" s="3971"/>
      <c r="BX28" s="3971"/>
      <c r="BY28" s="3971"/>
      <c r="BZ28" s="3971"/>
      <c r="CA28" s="3971"/>
      <c r="CB28" s="3971"/>
      <c r="CC28" s="3971"/>
      <c r="CD28" s="3971"/>
      <c r="CE28" s="3971"/>
      <c r="CF28" s="3971"/>
      <c r="CG28" s="3971"/>
      <c r="CH28" s="3971"/>
      <c r="CI28" s="3971"/>
      <c r="CJ28" s="3971"/>
      <c r="CK28" s="3971"/>
      <c r="CL28" s="3971"/>
      <c r="CM28" s="3971"/>
      <c r="CN28" s="3971"/>
      <c r="CO28" s="6533"/>
      <c r="CP28" s="574"/>
      <c r="CW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72" t="str">
        <f>IF(TITLE_NAME_OR_PR_CHANGE="",IF(TITLE_NAME_OR_PR="","",TITLE_NAME_OR_PR),TITLE_NAME_OR_PR_CHANGE)</f>
        <v>УГРЦТ НАО</v>
      </c>
      <c r="AM29" s="3972"/>
      <c r="AN29" s="3972"/>
      <c r="AO29" s="3972"/>
      <c r="AP29" s="3972"/>
      <c r="AQ29" s="3972"/>
      <c r="AR29" s="3972"/>
      <c r="AS29" s="3779"/>
      <c r="AT29" s="3972" t="str">
        <f>IF(TITLE_NAME_OR_PR_CHANGE="",IF(TITLE_NAME_OR_PR="","",TITLE_NAME_OR_PR),TITLE_NAME_OR_PR_CHANGE)</f>
        <v>УГРЦТ НАО</v>
      </c>
      <c r="AU29" s="3972"/>
      <c r="AV29" s="3972"/>
      <c r="AW29" s="3972"/>
      <c r="AX29" s="3972"/>
      <c r="AY29" s="3972"/>
      <c r="AZ29" s="3972"/>
      <c r="BA29" s="3779"/>
      <c r="BB29" s="3972" t="str">
        <f>IF(TITLE_NAME_OR_PR_CHANGE="",IF(TITLE_NAME_OR_PR="","",TITLE_NAME_OR_PR),TITLE_NAME_OR_PR_CHANGE)</f>
        <v>УГРЦТ НАО</v>
      </c>
      <c r="BC29" s="3972"/>
      <c r="BD29" s="3972"/>
      <c r="BE29" s="3972"/>
      <c r="BF29" s="3972"/>
      <c r="BG29" s="3972"/>
      <c r="BH29" s="3972"/>
      <c r="BI29" s="3779"/>
      <c r="BJ29" s="3972" t="str">
        <f>IF(TITLE_NAME_OR_PR_CHANGE="",IF(TITLE_NAME_OR_PR="","",TITLE_NAME_OR_PR),TITLE_NAME_OR_PR_CHANGE)</f>
        <v>УГРЦТ НАО</v>
      </c>
      <c r="BK29" s="3972"/>
      <c r="BL29" s="3972"/>
      <c r="BM29" s="3972"/>
      <c r="BN29" s="3972"/>
      <c r="BO29" s="3972"/>
      <c r="BP29" s="3972"/>
      <c r="BQ29" s="3779"/>
      <c r="BR29" s="3972" t="str">
        <f>IF(TITLE_NAME_OR_PR_CHANGE="",IF(TITLE_NAME_OR_PR="","",TITLE_NAME_OR_PR),TITLE_NAME_OR_PR_CHANGE)</f>
        <v>УГРЦТ НАО</v>
      </c>
      <c r="BS29" s="3972"/>
      <c r="BT29" s="3972"/>
      <c r="BU29" s="3972"/>
      <c r="BV29" s="3972"/>
      <c r="BW29" s="3972"/>
      <c r="BX29" s="3972"/>
      <c r="BY29" s="3779"/>
      <c r="BZ29" s="3972" t="str">
        <f>IF(TITLE_NAME_OR_PR_CHANGE="",IF(TITLE_NAME_OR_PR="","",TITLE_NAME_OR_PR),TITLE_NAME_OR_PR_CHANGE)</f>
        <v>УГРЦТ НАО</v>
      </c>
      <c r="CA29" s="3972"/>
      <c r="CB29" s="3972"/>
      <c r="CC29" s="3972"/>
      <c r="CD29" s="3972"/>
      <c r="CE29" s="3972"/>
      <c r="CF29" s="3972"/>
      <c r="CG29" s="3779"/>
      <c r="CH29" s="3972" t="str">
        <f>IF(TITLE_NAME_OR_PR_CHANGE="",IF(TITLE_NAME_OR_PR="","",TITLE_NAME_OR_PR),TITLE_NAME_OR_PR_CHANGE)</f>
        <v>УГРЦТ НАО</v>
      </c>
      <c r="CI29" s="3972"/>
      <c r="CJ29" s="3972"/>
      <c r="CK29" s="3972"/>
      <c r="CL29" s="3972"/>
      <c r="CM29" s="3972"/>
      <c r="CN29" s="3972"/>
      <c r="CO29" s="6520"/>
      <c r="CP29" s="391"/>
      <c r="CQ29" s="345"/>
      <c r="CR29" s="433"/>
      <c r="CS29" s="433"/>
      <c r="CT29" s="433"/>
      <c r="CU29" s="433"/>
      <c r="CV29" s="433"/>
      <c r="CW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73" t="str">
        <f>IF(TITLE_DATE_PR_CHANGE="",IF(TITLE_DATE_PR="","",TITLE_DATE_PR),TITLE_DATE_PR_CHANGE)</f>
        <v>46008.55446759259</v>
      </c>
      <c r="AM30" s="3973"/>
      <c r="AN30" s="3973"/>
      <c r="AO30" s="3973"/>
      <c r="AP30" s="3973"/>
      <c r="AQ30" s="3973"/>
      <c r="AR30" s="3973"/>
      <c r="AS30" s="3779"/>
      <c r="AT30" s="3973" t="str">
        <f>IF(TITLE_DATE_PR_CHANGE="",IF(TITLE_DATE_PR="","",TITLE_DATE_PR),TITLE_DATE_PR_CHANGE)</f>
        <v>46008.55446759259</v>
      </c>
      <c r="AU30" s="3973"/>
      <c r="AV30" s="3973"/>
      <c r="AW30" s="3973"/>
      <c r="AX30" s="3973"/>
      <c r="AY30" s="3973"/>
      <c r="AZ30" s="3973"/>
      <c r="BA30" s="3779"/>
      <c r="BB30" s="3973" t="str">
        <f>IF(TITLE_DATE_PR_CHANGE="",IF(TITLE_DATE_PR="","",TITLE_DATE_PR),TITLE_DATE_PR_CHANGE)</f>
        <v>46008.55446759259</v>
      </c>
      <c r="BC30" s="3973"/>
      <c r="BD30" s="3973"/>
      <c r="BE30" s="3973"/>
      <c r="BF30" s="3973"/>
      <c r="BG30" s="3973"/>
      <c r="BH30" s="3973"/>
      <c r="BI30" s="3779"/>
      <c r="BJ30" s="3973" t="str">
        <f>IF(TITLE_DATE_PR_CHANGE="",IF(TITLE_DATE_PR="","",TITLE_DATE_PR),TITLE_DATE_PR_CHANGE)</f>
        <v>46008.55446759259</v>
      </c>
      <c r="BK30" s="3973"/>
      <c r="BL30" s="3973"/>
      <c r="BM30" s="3973"/>
      <c r="BN30" s="3973"/>
      <c r="BO30" s="3973"/>
      <c r="BP30" s="3973"/>
      <c r="BQ30" s="3779"/>
      <c r="BR30" s="3973" t="str">
        <f>IF(TITLE_DATE_PR_CHANGE="",IF(TITLE_DATE_PR="","",TITLE_DATE_PR),TITLE_DATE_PR_CHANGE)</f>
        <v>46008.55446759259</v>
      </c>
      <c r="BS30" s="3973"/>
      <c r="BT30" s="3973"/>
      <c r="BU30" s="3973"/>
      <c r="BV30" s="3973"/>
      <c r="BW30" s="3973"/>
      <c r="BX30" s="3973"/>
      <c r="BY30" s="3779"/>
      <c r="BZ30" s="3973" t="str">
        <f>IF(TITLE_DATE_PR_CHANGE="",IF(TITLE_DATE_PR="","",TITLE_DATE_PR),TITLE_DATE_PR_CHANGE)</f>
        <v>46008.55446759259</v>
      </c>
      <c r="CA30" s="3973"/>
      <c r="CB30" s="3973"/>
      <c r="CC30" s="3973"/>
      <c r="CD30" s="3973"/>
      <c r="CE30" s="3973"/>
      <c r="CF30" s="3973"/>
      <c r="CG30" s="3779"/>
      <c r="CH30" s="3973" t="str">
        <f>IF(TITLE_DATE_PR_CHANGE="",IF(TITLE_DATE_PR="","",TITLE_DATE_PR),TITLE_DATE_PR_CHANGE)</f>
        <v>46008.55446759259</v>
      </c>
      <c r="CI30" s="3973"/>
      <c r="CJ30" s="3973"/>
      <c r="CK30" s="3973"/>
      <c r="CL30" s="3973"/>
      <c r="CM30" s="3973"/>
      <c r="CN30" s="3973"/>
      <c r="CO30" s="6520"/>
      <c r="CP30" s="391"/>
      <c r="CQ30" s="345"/>
      <c r="CR30" s="433"/>
      <c r="CS30" s="433"/>
      <c r="CT30" s="433"/>
      <c r="CU30" s="433"/>
      <c r="CV30" s="433"/>
      <c r="CW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72" t="str">
        <f>IF(TITLE_NUMBER_PR_CHANGE="",IF(TITLE_NUMBER_PR="","",TITLE_NUMBER_PR),TITLE_NUMBER_PR_CHANGE)</f>
        <v>57</v>
      </c>
      <c r="AM31" s="3972"/>
      <c r="AN31" s="3972"/>
      <c r="AO31" s="3972"/>
      <c r="AP31" s="3972"/>
      <c r="AQ31" s="3972"/>
      <c r="AR31" s="3972"/>
      <c r="AS31" s="3779"/>
      <c r="AT31" s="3972" t="str">
        <f>IF(TITLE_NUMBER_PR_CHANGE="",IF(TITLE_NUMBER_PR="","",TITLE_NUMBER_PR),TITLE_NUMBER_PR_CHANGE)</f>
        <v>57</v>
      </c>
      <c r="AU31" s="3972"/>
      <c r="AV31" s="3972"/>
      <c r="AW31" s="3972"/>
      <c r="AX31" s="3972"/>
      <c r="AY31" s="3972"/>
      <c r="AZ31" s="3972"/>
      <c r="BA31" s="3779"/>
      <c r="BB31" s="3972" t="str">
        <f>IF(TITLE_NUMBER_PR_CHANGE="",IF(TITLE_NUMBER_PR="","",TITLE_NUMBER_PR),TITLE_NUMBER_PR_CHANGE)</f>
        <v>57</v>
      </c>
      <c r="BC31" s="3972"/>
      <c r="BD31" s="3972"/>
      <c r="BE31" s="3972"/>
      <c r="BF31" s="3972"/>
      <c r="BG31" s="3972"/>
      <c r="BH31" s="3972"/>
      <c r="BI31" s="3779"/>
      <c r="BJ31" s="3972" t="str">
        <f>IF(TITLE_NUMBER_PR_CHANGE="",IF(TITLE_NUMBER_PR="","",TITLE_NUMBER_PR),TITLE_NUMBER_PR_CHANGE)</f>
        <v>57</v>
      </c>
      <c r="BK31" s="3972"/>
      <c r="BL31" s="3972"/>
      <c r="BM31" s="3972"/>
      <c r="BN31" s="3972"/>
      <c r="BO31" s="3972"/>
      <c r="BP31" s="3972"/>
      <c r="BQ31" s="3779"/>
      <c r="BR31" s="3972" t="str">
        <f>IF(TITLE_NUMBER_PR_CHANGE="",IF(TITLE_NUMBER_PR="","",TITLE_NUMBER_PR),TITLE_NUMBER_PR_CHANGE)</f>
        <v>57</v>
      </c>
      <c r="BS31" s="3972"/>
      <c r="BT31" s="3972"/>
      <c r="BU31" s="3972"/>
      <c r="BV31" s="3972"/>
      <c r="BW31" s="3972"/>
      <c r="BX31" s="3972"/>
      <c r="BY31" s="3779"/>
      <c r="BZ31" s="3972" t="str">
        <f>IF(TITLE_NUMBER_PR_CHANGE="",IF(TITLE_NUMBER_PR="","",TITLE_NUMBER_PR),TITLE_NUMBER_PR_CHANGE)</f>
        <v>57</v>
      </c>
      <c r="CA31" s="3972"/>
      <c r="CB31" s="3972"/>
      <c r="CC31" s="3972"/>
      <c r="CD31" s="3972"/>
      <c r="CE31" s="3972"/>
      <c r="CF31" s="3972"/>
      <c r="CG31" s="3779"/>
      <c r="CH31" s="3972" t="str">
        <f>IF(TITLE_NUMBER_PR_CHANGE="",IF(TITLE_NUMBER_PR="","",TITLE_NUMBER_PR),TITLE_NUMBER_PR_CHANGE)</f>
        <v>57</v>
      </c>
      <c r="CI31" s="3972"/>
      <c r="CJ31" s="3972"/>
      <c r="CK31" s="3972"/>
      <c r="CL31" s="3972"/>
      <c r="CM31" s="3972"/>
      <c r="CN31" s="3972"/>
      <c r="CO31" s="6520"/>
      <c r="CP31" s="391"/>
      <c r="CQ31" s="345"/>
      <c r="CR31" s="433"/>
      <c r="CS31" s="433"/>
      <c r="CT31" s="433"/>
      <c r="CU31" s="433"/>
      <c r="CV31" s="433"/>
      <c r="CW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72" t="str">
        <f>IF(TITLE_IST_PUB_CHANGE="",IF(TITLE_IST_PUB="","",TITLE_IST_PUB),TITLE_IST_PUB_CHANGE)</f>
        <v>http://pravo.gov.ru</v>
      </c>
      <c r="AM32" s="3972"/>
      <c r="AN32" s="3972"/>
      <c r="AO32" s="3972"/>
      <c r="AP32" s="3972"/>
      <c r="AQ32" s="3972"/>
      <c r="AR32" s="3972"/>
      <c r="AS32" s="3779"/>
      <c r="AT32" s="3972" t="str">
        <f>IF(TITLE_IST_PUB_CHANGE="",IF(TITLE_IST_PUB="","",TITLE_IST_PUB),TITLE_IST_PUB_CHANGE)</f>
        <v>http://pravo.gov.ru</v>
      </c>
      <c r="AU32" s="3972"/>
      <c r="AV32" s="3972"/>
      <c r="AW32" s="3972"/>
      <c r="AX32" s="3972"/>
      <c r="AY32" s="3972"/>
      <c r="AZ32" s="3972"/>
      <c r="BA32" s="3779"/>
      <c r="BB32" s="3972" t="str">
        <f>IF(TITLE_IST_PUB_CHANGE="",IF(TITLE_IST_PUB="","",TITLE_IST_PUB),TITLE_IST_PUB_CHANGE)</f>
        <v>http://pravo.gov.ru</v>
      </c>
      <c r="BC32" s="3972"/>
      <c r="BD32" s="3972"/>
      <c r="BE32" s="3972"/>
      <c r="BF32" s="3972"/>
      <c r="BG32" s="3972"/>
      <c r="BH32" s="3972"/>
      <c r="BI32" s="3779"/>
      <c r="BJ32" s="3972" t="str">
        <f>IF(TITLE_IST_PUB_CHANGE="",IF(TITLE_IST_PUB="","",TITLE_IST_PUB),TITLE_IST_PUB_CHANGE)</f>
        <v>http://pravo.gov.ru</v>
      </c>
      <c r="BK32" s="3972"/>
      <c r="BL32" s="3972"/>
      <c r="BM32" s="3972"/>
      <c r="BN32" s="3972"/>
      <c r="BO32" s="3972"/>
      <c r="BP32" s="3972"/>
      <c r="BQ32" s="3779"/>
      <c r="BR32" s="3972" t="str">
        <f>IF(TITLE_IST_PUB_CHANGE="",IF(TITLE_IST_PUB="","",TITLE_IST_PUB),TITLE_IST_PUB_CHANGE)</f>
        <v>http://pravo.gov.ru</v>
      </c>
      <c r="BS32" s="3972"/>
      <c r="BT32" s="3972"/>
      <c r="BU32" s="3972"/>
      <c r="BV32" s="3972"/>
      <c r="BW32" s="3972"/>
      <c r="BX32" s="3972"/>
      <c r="BY32" s="3779"/>
      <c r="BZ32" s="3972" t="str">
        <f>IF(TITLE_IST_PUB_CHANGE="",IF(TITLE_IST_PUB="","",TITLE_IST_PUB),TITLE_IST_PUB_CHANGE)</f>
        <v>http://pravo.gov.ru</v>
      </c>
      <c r="CA32" s="3972"/>
      <c r="CB32" s="3972"/>
      <c r="CC32" s="3972"/>
      <c r="CD32" s="3972"/>
      <c r="CE32" s="3972"/>
      <c r="CF32" s="3972"/>
      <c r="CG32" s="3779"/>
      <c r="CH32" s="3972" t="str">
        <f>IF(TITLE_IST_PUB_CHANGE="",IF(TITLE_IST_PUB="","",TITLE_IST_PUB),TITLE_IST_PUB_CHANGE)</f>
        <v>http://pravo.gov.ru</v>
      </c>
      <c r="CI32" s="3972"/>
      <c r="CJ32" s="3972"/>
      <c r="CK32" s="3972"/>
      <c r="CL32" s="3972"/>
      <c r="CM32" s="3972"/>
      <c r="CN32" s="3972"/>
      <c r="CO32" s="6520"/>
      <c r="CP32" s="391"/>
      <c r="CQ32" s="345"/>
      <c r="CR32" s="433"/>
      <c r="CS32" s="433"/>
      <c r="CT32" s="433"/>
      <c r="CU32" s="433"/>
      <c r="CV32" s="433"/>
      <c r="CW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3971"/>
      <c r="AM33" s="3971"/>
      <c r="AN33" s="3971"/>
      <c r="AO33" s="3971"/>
      <c r="AP33" s="3971"/>
      <c r="AQ33" s="3971"/>
      <c r="AR33" s="3971"/>
      <c r="AS33" s="3971"/>
      <c r="AT33" s="3971"/>
      <c r="AU33" s="3971"/>
      <c r="AV33" s="3971"/>
      <c r="AW33" s="3971"/>
      <c r="AX33" s="3971"/>
      <c r="AY33" s="3971"/>
      <c r="AZ33" s="3971"/>
      <c r="BA33" s="3971"/>
      <c r="BB33" s="3971"/>
      <c r="BC33" s="3971"/>
      <c r="BD33" s="3971"/>
      <c r="BE33" s="3971"/>
      <c r="BF33" s="3971"/>
      <c r="BG33" s="3971"/>
      <c r="BH33" s="3971"/>
      <c r="BI33" s="3971"/>
      <c r="BJ33" s="3971"/>
      <c r="BK33" s="3971"/>
      <c r="BL33" s="3971"/>
      <c r="BM33" s="3971"/>
      <c r="BN33" s="3971"/>
      <c r="BO33" s="3971"/>
      <c r="BP33" s="3971"/>
      <c r="BQ33" s="3971"/>
      <c r="BR33" s="3971"/>
      <c r="BS33" s="3971"/>
      <c r="BT33" s="3971"/>
      <c r="BU33" s="3971"/>
      <c r="BV33" s="3971"/>
      <c r="BW33" s="3971"/>
      <c r="BX33" s="3971"/>
      <c r="BY33" s="3971"/>
      <c r="BZ33" s="3971"/>
      <c r="CA33" s="3971"/>
      <c r="CB33" s="3971"/>
      <c r="CC33" s="3971"/>
      <c r="CD33" s="3971"/>
      <c r="CE33" s="3971"/>
      <c r="CF33" s="3971"/>
      <c r="CG33" s="3971"/>
      <c r="CH33" s="3971"/>
      <c r="CI33" s="3971"/>
      <c r="CJ33" s="3971"/>
      <c r="CK33" s="3971"/>
      <c r="CL33" s="3971"/>
      <c r="CM33" s="3971"/>
      <c r="CN33" s="3971"/>
      <c r="CO33" s="6533"/>
      <c r="CP33" s="574"/>
      <c r="CW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73" t="str">
        <f>IF(TITLE_DATE_PR_CHANGE="",IF(TITLE_DATE_PR="","",TITLE_DATE_PR),TITLE_DATE_PR_CHANGE)</f>
        <v>46008.55446759259</v>
      </c>
      <c r="AM34" s="3973"/>
      <c r="AN34" s="3973"/>
      <c r="AO34" s="3973"/>
      <c r="AP34" s="3973"/>
      <c r="AQ34" s="3973"/>
      <c r="AR34" s="3973"/>
      <c r="AS34" s="3779"/>
      <c r="AT34" s="3973" t="str">
        <f>IF(TITLE_DATE_PR_CHANGE="",IF(TITLE_DATE_PR="","",TITLE_DATE_PR),TITLE_DATE_PR_CHANGE)</f>
        <v>46008.55446759259</v>
      </c>
      <c r="AU34" s="3973"/>
      <c r="AV34" s="3973"/>
      <c r="AW34" s="3973"/>
      <c r="AX34" s="3973"/>
      <c r="AY34" s="3973"/>
      <c r="AZ34" s="3973"/>
      <c r="BA34" s="3779"/>
      <c r="BB34" s="3973" t="str">
        <f>IF(TITLE_DATE_PR_CHANGE="",IF(TITLE_DATE_PR="","",TITLE_DATE_PR),TITLE_DATE_PR_CHANGE)</f>
        <v>46008.55446759259</v>
      </c>
      <c r="BC34" s="3973"/>
      <c r="BD34" s="3973"/>
      <c r="BE34" s="3973"/>
      <c r="BF34" s="3973"/>
      <c r="BG34" s="3973"/>
      <c r="BH34" s="3973"/>
      <c r="BI34" s="3779"/>
      <c r="BJ34" s="3973" t="str">
        <f>IF(TITLE_DATE_PR_CHANGE="",IF(TITLE_DATE_PR="","",TITLE_DATE_PR),TITLE_DATE_PR_CHANGE)</f>
        <v>46008.55446759259</v>
      </c>
      <c r="BK34" s="3973"/>
      <c r="BL34" s="3973"/>
      <c r="BM34" s="3973"/>
      <c r="BN34" s="3973"/>
      <c r="BO34" s="3973"/>
      <c r="BP34" s="3973"/>
      <c r="BQ34" s="3779"/>
      <c r="BR34" s="3973" t="str">
        <f>IF(TITLE_DATE_PR_CHANGE="",IF(TITLE_DATE_PR="","",TITLE_DATE_PR),TITLE_DATE_PR_CHANGE)</f>
        <v>46008.55446759259</v>
      </c>
      <c r="BS34" s="3973"/>
      <c r="BT34" s="3973"/>
      <c r="BU34" s="3973"/>
      <c r="BV34" s="3973"/>
      <c r="BW34" s="3973"/>
      <c r="BX34" s="3973"/>
      <c r="BY34" s="3779"/>
      <c r="BZ34" s="3973" t="str">
        <f>IF(TITLE_DATE_PR_CHANGE="",IF(TITLE_DATE_PR="","",TITLE_DATE_PR),TITLE_DATE_PR_CHANGE)</f>
        <v>46008.55446759259</v>
      </c>
      <c r="CA34" s="3973"/>
      <c r="CB34" s="3973"/>
      <c r="CC34" s="3973"/>
      <c r="CD34" s="3973"/>
      <c r="CE34" s="3973"/>
      <c r="CF34" s="3973"/>
      <c r="CG34" s="3779"/>
      <c r="CH34" s="3973" t="str">
        <f>IF(TITLE_DATE_PR_CHANGE="",IF(TITLE_DATE_PR="","",TITLE_DATE_PR),TITLE_DATE_PR_CHANGE)</f>
        <v>46008.55446759259</v>
      </c>
      <c r="CI34" s="3973"/>
      <c r="CJ34" s="3973"/>
      <c r="CK34" s="3973"/>
      <c r="CL34" s="3973"/>
      <c r="CM34" s="3973"/>
      <c r="CN34" s="3973"/>
      <c r="CO34" s="6520"/>
      <c r="CP34" s="391"/>
      <c r="CQ34" s="345"/>
      <c r="CR34" s="433"/>
      <c r="CS34" s="433"/>
      <c r="CT34" s="433"/>
      <c r="CU34" s="433"/>
      <c r="CV34" s="433"/>
      <c r="CW34" s="483">
        <v>0</v>
      </c>
    </row>
    <row s="6339" customFormat="1" customHeight="1" ht="18.7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72" t="str">
        <f>IF(TITLE_NUMBER_PR_CHANGE="",IF(TITLE_NUMBER_PR="","",TITLE_NUMBER_PR),TITLE_NUMBER_PR_CHANGE)</f>
        <v>57</v>
      </c>
      <c r="AM35" s="3972"/>
      <c r="AN35" s="3972"/>
      <c r="AO35" s="3972"/>
      <c r="AP35" s="3972"/>
      <c r="AQ35" s="3972"/>
      <c r="AR35" s="3972"/>
      <c r="AS35" s="3779"/>
      <c r="AT35" s="3972" t="str">
        <f>IF(TITLE_NUMBER_PR_CHANGE="",IF(TITLE_NUMBER_PR="","",TITLE_NUMBER_PR),TITLE_NUMBER_PR_CHANGE)</f>
        <v>57</v>
      </c>
      <c r="AU35" s="3972"/>
      <c r="AV35" s="3972"/>
      <c r="AW35" s="3972"/>
      <c r="AX35" s="3972"/>
      <c r="AY35" s="3972"/>
      <c r="AZ35" s="3972"/>
      <c r="BA35" s="3779"/>
      <c r="BB35" s="3972" t="str">
        <f>IF(TITLE_NUMBER_PR_CHANGE="",IF(TITLE_NUMBER_PR="","",TITLE_NUMBER_PR),TITLE_NUMBER_PR_CHANGE)</f>
        <v>57</v>
      </c>
      <c r="BC35" s="3972"/>
      <c r="BD35" s="3972"/>
      <c r="BE35" s="3972"/>
      <c r="BF35" s="3972"/>
      <c r="BG35" s="3972"/>
      <c r="BH35" s="3972"/>
      <c r="BI35" s="3779"/>
      <c r="BJ35" s="3972" t="str">
        <f>IF(TITLE_NUMBER_PR_CHANGE="",IF(TITLE_NUMBER_PR="","",TITLE_NUMBER_PR),TITLE_NUMBER_PR_CHANGE)</f>
        <v>57</v>
      </c>
      <c r="BK35" s="3972"/>
      <c r="BL35" s="3972"/>
      <c r="BM35" s="3972"/>
      <c r="BN35" s="3972"/>
      <c r="BO35" s="3972"/>
      <c r="BP35" s="3972"/>
      <c r="BQ35" s="3779"/>
      <c r="BR35" s="3972" t="str">
        <f>IF(TITLE_NUMBER_PR_CHANGE="",IF(TITLE_NUMBER_PR="","",TITLE_NUMBER_PR),TITLE_NUMBER_PR_CHANGE)</f>
        <v>57</v>
      </c>
      <c r="BS35" s="3972"/>
      <c r="BT35" s="3972"/>
      <c r="BU35" s="3972"/>
      <c r="BV35" s="3972"/>
      <c r="BW35" s="3972"/>
      <c r="BX35" s="3972"/>
      <c r="BY35" s="3779"/>
      <c r="BZ35" s="3972" t="str">
        <f>IF(TITLE_NUMBER_PR_CHANGE="",IF(TITLE_NUMBER_PR="","",TITLE_NUMBER_PR),TITLE_NUMBER_PR_CHANGE)</f>
        <v>57</v>
      </c>
      <c r="CA35" s="3972"/>
      <c r="CB35" s="3972"/>
      <c r="CC35" s="3972"/>
      <c r="CD35" s="3972"/>
      <c r="CE35" s="3972"/>
      <c r="CF35" s="3972"/>
      <c r="CG35" s="3779"/>
      <c r="CH35" s="3972" t="str">
        <f>IF(TITLE_NUMBER_PR_CHANGE="",IF(TITLE_NUMBER_PR="","",TITLE_NUMBER_PR),TITLE_NUMBER_PR_CHANGE)</f>
        <v>57</v>
      </c>
      <c r="CI35" s="3972"/>
      <c r="CJ35" s="3972"/>
      <c r="CK35" s="3972"/>
      <c r="CL35" s="3972"/>
      <c r="CM35" s="3972"/>
      <c r="CN35" s="3972"/>
      <c r="CO35" s="6520"/>
      <c r="CP35" s="391"/>
      <c r="CQ35" s="345"/>
      <c r="CR35" s="433"/>
      <c r="CS35" s="433"/>
      <c r="CT35" s="433"/>
      <c r="CU35" s="433"/>
      <c r="CV35" s="433"/>
      <c r="CW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433</v>
      </c>
      <c r="AD36" s="391"/>
      <c r="AE36" s="391"/>
      <c r="AF36" s="391"/>
      <c r="AG36" s="391"/>
      <c r="AH36" s="391"/>
      <c r="AI36" s="391"/>
      <c r="AJ36" s="391"/>
      <c r="AK36" s="343" t="s">
        <v>433</v>
      </c>
      <c r="AL36" s="3779"/>
      <c r="AM36" s="3779"/>
      <c r="AN36" s="3779"/>
      <c r="AO36" s="3779"/>
      <c r="AP36" s="3779"/>
      <c r="AQ36" s="3779"/>
      <c r="AR36" s="3779"/>
      <c r="AS36" s="3975" t="s">
        <v>433</v>
      </c>
      <c r="AT36" s="3779"/>
      <c r="AU36" s="3779"/>
      <c r="AV36" s="3779"/>
      <c r="AW36" s="3779"/>
      <c r="AX36" s="3779"/>
      <c r="AY36" s="3779"/>
      <c r="AZ36" s="3779"/>
      <c r="BA36" s="3975" t="s">
        <v>433</v>
      </c>
      <c r="BB36" s="3779"/>
      <c r="BC36" s="3779"/>
      <c r="BD36" s="3779"/>
      <c r="BE36" s="3779"/>
      <c r="BF36" s="3779"/>
      <c r="BG36" s="3779"/>
      <c r="BH36" s="3779"/>
      <c r="BI36" s="3975" t="s">
        <v>433</v>
      </c>
      <c r="BJ36" s="3779"/>
      <c r="BK36" s="3779"/>
      <c r="BL36" s="3779"/>
      <c r="BM36" s="3779"/>
      <c r="BN36" s="3779"/>
      <c r="BO36" s="3779"/>
      <c r="BP36" s="3779"/>
      <c r="BQ36" s="3975" t="s">
        <v>433</v>
      </c>
      <c r="BR36" s="3779"/>
      <c r="BS36" s="3779"/>
      <c r="BT36" s="3779"/>
      <c r="BU36" s="3779"/>
      <c r="BV36" s="3779"/>
      <c r="BW36" s="3779"/>
      <c r="BX36" s="3779"/>
      <c r="BY36" s="3975" t="s">
        <v>433</v>
      </c>
      <c r="BZ36" s="3779"/>
      <c r="CA36" s="3779"/>
      <c r="CB36" s="3779"/>
      <c r="CC36" s="3779"/>
      <c r="CD36" s="3779"/>
      <c r="CE36" s="3779"/>
      <c r="CF36" s="3779"/>
      <c r="CG36" s="3975" t="s">
        <v>433</v>
      </c>
      <c r="CH36" s="3779"/>
      <c r="CI36" s="3779"/>
      <c r="CJ36" s="3779"/>
      <c r="CK36" s="3779"/>
      <c r="CL36" s="3779"/>
      <c r="CM36" s="3779"/>
      <c r="CN36" s="3779"/>
      <c r="CO36" s="6534" t="s">
        <v>433</v>
      </c>
      <c r="CR36" s="433"/>
      <c r="CS36" s="433"/>
      <c r="CT36" s="433"/>
      <c r="CU36" s="433"/>
      <c r="CV36" s="433"/>
      <c r="CW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976" t="s">
        <v>454</v>
      </c>
      <c r="AM37" s="3976"/>
      <c r="AN37" s="3976"/>
      <c r="AO37" s="3976"/>
      <c r="AP37" s="3976"/>
      <c r="AQ37" s="3976"/>
      <c r="AR37" s="3976"/>
      <c r="AS37" s="3976"/>
      <c r="AT37" s="3976" t="s">
        <v>454</v>
      </c>
      <c r="AU37" s="3976"/>
      <c r="AV37" s="3976"/>
      <c r="AW37" s="3976"/>
      <c r="AX37" s="3976"/>
      <c r="AY37" s="3976"/>
      <c r="AZ37" s="3976"/>
      <c r="BA37" s="3976"/>
      <c r="BB37" s="3976" t="s">
        <v>454</v>
      </c>
      <c r="BC37" s="3976"/>
      <c r="BD37" s="3976"/>
      <c r="BE37" s="3976"/>
      <c r="BF37" s="3976"/>
      <c r="BG37" s="3976"/>
      <c r="BH37" s="3976"/>
      <c r="BI37" s="3976"/>
      <c r="BJ37" s="3976" t="s">
        <v>454</v>
      </c>
      <c r="BK37" s="3976"/>
      <c r="BL37" s="3976"/>
      <c r="BM37" s="3976"/>
      <c r="BN37" s="3976"/>
      <c r="BO37" s="3976"/>
      <c r="BP37" s="3976"/>
      <c r="BQ37" s="3976"/>
      <c r="BR37" s="3976" t="s">
        <v>454</v>
      </c>
      <c r="BS37" s="3976"/>
      <c r="BT37" s="3976"/>
      <c r="BU37" s="3976"/>
      <c r="BV37" s="3976"/>
      <c r="BW37" s="3976"/>
      <c r="BX37" s="3976"/>
      <c r="BY37" s="3976"/>
      <c r="BZ37" s="3976" t="s">
        <v>454</v>
      </c>
      <c r="CA37" s="3976"/>
      <c r="CB37" s="3976"/>
      <c r="CC37" s="3976"/>
      <c r="CD37" s="3976"/>
      <c r="CE37" s="3976"/>
      <c r="CF37" s="3976"/>
      <c r="CG37" s="3976"/>
      <c r="CH37" s="3976" t="s">
        <v>454</v>
      </c>
      <c r="CI37" s="3976"/>
      <c r="CJ37" s="3976"/>
      <c r="CK37" s="3976"/>
      <c r="CL37" s="3976"/>
      <c r="CM37" s="3976"/>
      <c r="CN37" s="3976"/>
      <c r="CO37" s="6535"/>
      <c r="CW37" s="1220">
        <v>14</v>
      </c>
    </row>
    <row customHeight="1" ht="15">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3977" t="s">
        <v>309</v>
      </c>
      <c r="AM38" s="3977"/>
      <c r="AN38" s="3977"/>
      <c r="AO38" s="3977"/>
      <c r="AP38" s="3977"/>
      <c r="AQ38" s="3977"/>
      <c r="AR38" s="3977"/>
      <c r="AS38" s="3977"/>
      <c r="AT38" s="3977" t="s">
        <v>309</v>
      </c>
      <c r="AU38" s="3977"/>
      <c r="AV38" s="3977"/>
      <c r="AW38" s="3977"/>
      <c r="AX38" s="3977"/>
      <c r="AY38" s="3977"/>
      <c r="AZ38" s="3977"/>
      <c r="BA38" s="3977"/>
      <c r="BB38" s="3977" t="s">
        <v>309</v>
      </c>
      <c r="BC38" s="3977"/>
      <c r="BD38" s="3977"/>
      <c r="BE38" s="3977"/>
      <c r="BF38" s="3977"/>
      <c r="BG38" s="3977"/>
      <c r="BH38" s="3977"/>
      <c r="BI38" s="3977"/>
      <c r="BJ38" s="3977" t="s">
        <v>309</v>
      </c>
      <c r="BK38" s="3977"/>
      <c r="BL38" s="3977"/>
      <c r="BM38" s="3977"/>
      <c r="BN38" s="3977"/>
      <c r="BO38" s="3977"/>
      <c r="BP38" s="3977"/>
      <c r="BQ38" s="3977"/>
      <c r="BR38" s="3977" t="s">
        <v>309</v>
      </c>
      <c r="BS38" s="3977"/>
      <c r="BT38" s="3977"/>
      <c r="BU38" s="3977"/>
      <c r="BV38" s="3977"/>
      <c r="BW38" s="3977"/>
      <c r="BX38" s="3977"/>
      <c r="BY38" s="3977"/>
      <c r="BZ38" s="3977" t="s">
        <v>309</v>
      </c>
      <c r="CA38" s="3977"/>
      <c r="CB38" s="3977"/>
      <c r="CC38" s="3977"/>
      <c r="CD38" s="3977"/>
      <c r="CE38" s="3977"/>
      <c r="CF38" s="3977"/>
      <c r="CG38" s="3977"/>
      <c r="CH38" s="3977" t="s">
        <v>309</v>
      </c>
      <c r="CI38" s="3977"/>
      <c r="CJ38" s="3977"/>
      <c r="CK38" s="3977"/>
      <c r="CL38" s="3977"/>
      <c r="CM38" s="3977"/>
      <c r="CN38" s="3977"/>
      <c r="CO38" s="6536"/>
      <c r="CP38" s="2192"/>
      <c r="CQ38" s="2192"/>
      <c r="CW38" s="1220"/>
    </row>
    <row customHeight="1" ht="14.699999999999998">
      <c r="Q39" s="441"/>
      <c r="R39" s="441"/>
      <c r="S39" s="2338" t="s">
        <v>91</v>
      </c>
      <c r="T39" s="2274" t="s">
        <v>434</v>
      </c>
      <c r="U39" s="366"/>
      <c r="V39" s="2339" t="s">
        <v>435</v>
      </c>
      <c r="W39" s="2340"/>
      <c r="X39" s="2340"/>
      <c r="Y39" s="2340"/>
      <c r="Z39" s="2340"/>
      <c r="AA39" s="2340"/>
      <c r="AB39" s="2341"/>
      <c r="AC39" s="2342" t="s">
        <v>436</v>
      </c>
      <c r="AD39" s="2339" t="s">
        <v>435</v>
      </c>
      <c r="AE39" s="2340"/>
      <c r="AF39" s="2340"/>
      <c r="AG39" s="2340"/>
      <c r="AH39" s="2340"/>
      <c r="AI39" s="2340"/>
      <c r="AJ39" s="2341"/>
      <c r="AK39" s="2342" t="s">
        <v>437</v>
      </c>
      <c r="AL39" s="3978" t="s">
        <v>435</v>
      </c>
      <c r="AM39" s="3979"/>
      <c r="AN39" s="3979"/>
      <c r="AO39" s="3979"/>
      <c r="AP39" s="3979"/>
      <c r="AQ39" s="3979"/>
      <c r="AR39" s="3980"/>
      <c r="AS39" s="3981" t="s">
        <v>436</v>
      </c>
      <c r="AT39" s="3978" t="s">
        <v>435</v>
      </c>
      <c r="AU39" s="3979"/>
      <c r="AV39" s="3979"/>
      <c r="AW39" s="3979"/>
      <c r="AX39" s="3979"/>
      <c r="AY39" s="3979"/>
      <c r="AZ39" s="3980"/>
      <c r="BA39" s="3981" t="s">
        <v>436</v>
      </c>
      <c r="BB39" s="3978" t="s">
        <v>435</v>
      </c>
      <c r="BC39" s="3979"/>
      <c r="BD39" s="3979"/>
      <c r="BE39" s="3979"/>
      <c r="BF39" s="3979"/>
      <c r="BG39" s="3979"/>
      <c r="BH39" s="3980"/>
      <c r="BI39" s="3981" t="s">
        <v>436</v>
      </c>
      <c r="BJ39" s="3978" t="s">
        <v>435</v>
      </c>
      <c r="BK39" s="3979"/>
      <c r="BL39" s="3979"/>
      <c r="BM39" s="3979"/>
      <c r="BN39" s="3979"/>
      <c r="BO39" s="3979"/>
      <c r="BP39" s="3980"/>
      <c r="BQ39" s="3981" t="s">
        <v>436</v>
      </c>
      <c r="BR39" s="3978" t="s">
        <v>435</v>
      </c>
      <c r="BS39" s="3979"/>
      <c r="BT39" s="3979"/>
      <c r="BU39" s="3979"/>
      <c r="BV39" s="3979"/>
      <c r="BW39" s="3979"/>
      <c r="BX39" s="3980"/>
      <c r="BY39" s="3981" t="s">
        <v>436</v>
      </c>
      <c r="BZ39" s="3978" t="s">
        <v>435</v>
      </c>
      <c r="CA39" s="3979"/>
      <c r="CB39" s="3979"/>
      <c r="CC39" s="3979"/>
      <c r="CD39" s="3979"/>
      <c r="CE39" s="3979"/>
      <c r="CF39" s="3980"/>
      <c r="CG39" s="3981" t="s">
        <v>436</v>
      </c>
      <c r="CH39" s="3978" t="s">
        <v>435</v>
      </c>
      <c r="CI39" s="3979"/>
      <c r="CJ39" s="3979"/>
      <c r="CK39" s="3979"/>
      <c r="CL39" s="3979"/>
      <c r="CM39" s="3979"/>
      <c r="CN39" s="3980"/>
      <c r="CO39" s="6537" t="s">
        <v>436</v>
      </c>
      <c r="CP39" s="2345" t="s">
        <v>438</v>
      </c>
      <c r="CQ39" s="2192"/>
      <c r="CW39" s="1220">
        <v>14</v>
      </c>
    </row>
    <row customHeight="1" ht="35.699999999999996">
      <c r="Q40" s="441"/>
      <c r="R40" s="441"/>
      <c r="S40" s="2338"/>
      <c r="T40" s="2274"/>
      <c r="U40" s="1096"/>
      <c r="V40" s="2325" t="s">
        <v>439</v>
      </c>
      <c r="W40" s="2348" t="s">
        <v>440</v>
      </c>
      <c r="X40" s="2327" t="s">
        <v>441</v>
      </c>
      <c r="Y40" s="2328"/>
      <c r="Z40" s="2327" t="s">
        <v>455</v>
      </c>
      <c r="AA40" s="2334"/>
      <c r="AB40" s="2328"/>
      <c r="AC40" s="2343"/>
      <c r="AD40" s="2325" t="s">
        <v>439</v>
      </c>
      <c r="AE40" s="2348" t="s">
        <v>440</v>
      </c>
      <c r="AF40" s="2327" t="s">
        <v>441</v>
      </c>
      <c r="AG40" s="2328"/>
      <c r="AH40" s="2327" t="s">
        <v>442</v>
      </c>
      <c r="AI40" s="2334"/>
      <c r="AJ40" s="2328"/>
      <c r="AK40" s="2343"/>
      <c r="AL40" s="3982" t="s">
        <v>439</v>
      </c>
      <c r="AM40" s="3983" t="s">
        <v>440</v>
      </c>
      <c r="AN40" s="3984" t="s">
        <v>441</v>
      </c>
      <c r="AO40" s="3985"/>
      <c r="AP40" s="3984" t="s">
        <v>455</v>
      </c>
      <c r="AQ40" s="3986"/>
      <c r="AR40" s="3985"/>
      <c r="AS40" s="3987"/>
      <c r="AT40" s="3982" t="s">
        <v>439</v>
      </c>
      <c r="AU40" s="3983" t="s">
        <v>440</v>
      </c>
      <c r="AV40" s="3984" t="s">
        <v>441</v>
      </c>
      <c r="AW40" s="3985"/>
      <c r="AX40" s="3984" t="s">
        <v>455</v>
      </c>
      <c r="AY40" s="3986"/>
      <c r="AZ40" s="3985"/>
      <c r="BA40" s="3987"/>
      <c r="BB40" s="3982" t="s">
        <v>439</v>
      </c>
      <c r="BC40" s="3983" t="s">
        <v>440</v>
      </c>
      <c r="BD40" s="3984" t="s">
        <v>441</v>
      </c>
      <c r="BE40" s="3985"/>
      <c r="BF40" s="3984" t="s">
        <v>455</v>
      </c>
      <c r="BG40" s="3986"/>
      <c r="BH40" s="3985"/>
      <c r="BI40" s="3987"/>
      <c r="BJ40" s="3982" t="s">
        <v>439</v>
      </c>
      <c r="BK40" s="3983" t="s">
        <v>440</v>
      </c>
      <c r="BL40" s="3984" t="s">
        <v>441</v>
      </c>
      <c r="BM40" s="3985"/>
      <c r="BN40" s="3984" t="s">
        <v>455</v>
      </c>
      <c r="BO40" s="3986"/>
      <c r="BP40" s="3985"/>
      <c r="BQ40" s="3987"/>
      <c r="BR40" s="3982" t="s">
        <v>439</v>
      </c>
      <c r="BS40" s="3983" t="s">
        <v>440</v>
      </c>
      <c r="BT40" s="3984" t="s">
        <v>441</v>
      </c>
      <c r="BU40" s="3985"/>
      <c r="BV40" s="3984" t="s">
        <v>455</v>
      </c>
      <c r="BW40" s="3986"/>
      <c r="BX40" s="3985"/>
      <c r="BY40" s="3987"/>
      <c r="BZ40" s="3982" t="s">
        <v>439</v>
      </c>
      <c r="CA40" s="3983" t="s">
        <v>440</v>
      </c>
      <c r="CB40" s="3984" t="s">
        <v>441</v>
      </c>
      <c r="CC40" s="3985"/>
      <c r="CD40" s="3984" t="s">
        <v>455</v>
      </c>
      <c r="CE40" s="3986"/>
      <c r="CF40" s="3985"/>
      <c r="CG40" s="3987"/>
      <c r="CH40" s="3982" t="s">
        <v>439</v>
      </c>
      <c r="CI40" s="3983" t="s">
        <v>440</v>
      </c>
      <c r="CJ40" s="3984" t="s">
        <v>441</v>
      </c>
      <c r="CK40" s="3985"/>
      <c r="CL40" s="3984" t="s">
        <v>455</v>
      </c>
      <c r="CM40" s="3986"/>
      <c r="CN40" s="3985"/>
      <c r="CO40" s="6538"/>
      <c r="CP40" s="2346"/>
      <c r="CQ40" s="2192"/>
      <c r="CW40" s="1220">
        <v>34</v>
      </c>
    </row>
    <row customHeight="1" ht="35.699999999999996">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Q41" s="441"/>
      <c r="R41" s="441"/>
      <c r="S41" s="2338"/>
      <c r="T41" s="2274"/>
      <c r="U41" s="367"/>
      <c r="V41" s="2326"/>
      <c r="W41" s="2349"/>
      <c r="X41" s="1287" t="s">
        <v>450</v>
      </c>
      <c r="Y41" s="1287" t="s">
        <v>451</v>
      </c>
      <c r="Z41" s="1403" t="s">
        <v>452</v>
      </c>
      <c r="AA41" s="2335" t="s">
        <v>453</v>
      </c>
      <c r="AB41" s="2336"/>
      <c r="AC41" s="2344"/>
      <c r="AD41" s="2326"/>
      <c r="AE41" s="2349"/>
      <c r="AF41" s="1287" t="s">
        <v>450</v>
      </c>
      <c r="AG41" s="1287" t="s">
        <v>451</v>
      </c>
      <c r="AH41" s="1403" t="s">
        <v>452</v>
      </c>
      <c r="AI41" s="2335" t="s">
        <v>453</v>
      </c>
      <c r="AJ41" s="2336"/>
      <c r="AK41" s="2344"/>
      <c r="AL41" s="3989"/>
      <c r="AM41" s="3990"/>
      <c r="AN41" s="3991" t="s">
        <v>450</v>
      </c>
      <c r="AO41" s="3991" t="s">
        <v>451</v>
      </c>
      <c r="AP41" s="3991" t="s">
        <v>452</v>
      </c>
      <c r="AQ41" s="3992" t="s">
        <v>453</v>
      </c>
      <c r="AR41" s="3993"/>
      <c r="AS41" s="3994"/>
      <c r="AT41" s="3989"/>
      <c r="AU41" s="3990"/>
      <c r="AV41" s="3991" t="s">
        <v>450</v>
      </c>
      <c r="AW41" s="3991" t="s">
        <v>451</v>
      </c>
      <c r="AX41" s="3991" t="s">
        <v>452</v>
      </c>
      <c r="AY41" s="3992" t="s">
        <v>453</v>
      </c>
      <c r="AZ41" s="3993"/>
      <c r="BA41" s="3994"/>
      <c r="BB41" s="3989"/>
      <c r="BC41" s="3990"/>
      <c r="BD41" s="3991" t="s">
        <v>450</v>
      </c>
      <c r="BE41" s="3991" t="s">
        <v>451</v>
      </c>
      <c r="BF41" s="3991" t="s">
        <v>452</v>
      </c>
      <c r="BG41" s="3992" t="s">
        <v>453</v>
      </c>
      <c r="BH41" s="3993"/>
      <c r="BI41" s="3994"/>
      <c r="BJ41" s="3989"/>
      <c r="BK41" s="3990"/>
      <c r="BL41" s="3991" t="s">
        <v>450</v>
      </c>
      <c r="BM41" s="3991" t="s">
        <v>451</v>
      </c>
      <c r="BN41" s="3991" t="s">
        <v>452</v>
      </c>
      <c r="BO41" s="3992" t="s">
        <v>453</v>
      </c>
      <c r="BP41" s="3993"/>
      <c r="BQ41" s="3994"/>
      <c r="BR41" s="3989"/>
      <c r="BS41" s="3990"/>
      <c r="BT41" s="3991" t="s">
        <v>450</v>
      </c>
      <c r="BU41" s="3991" t="s">
        <v>451</v>
      </c>
      <c r="BV41" s="3991" t="s">
        <v>452</v>
      </c>
      <c r="BW41" s="3992" t="s">
        <v>453</v>
      </c>
      <c r="BX41" s="3993"/>
      <c r="BY41" s="3994"/>
      <c r="BZ41" s="3989"/>
      <c r="CA41" s="3990"/>
      <c r="CB41" s="3991" t="s">
        <v>450</v>
      </c>
      <c r="CC41" s="3991" t="s">
        <v>451</v>
      </c>
      <c r="CD41" s="3991" t="s">
        <v>452</v>
      </c>
      <c r="CE41" s="3992" t="s">
        <v>453</v>
      </c>
      <c r="CF41" s="3993"/>
      <c r="CG41" s="3994"/>
      <c r="CH41" s="3989"/>
      <c r="CI41" s="3990"/>
      <c r="CJ41" s="3991" t="s">
        <v>450</v>
      </c>
      <c r="CK41" s="3991" t="s">
        <v>451</v>
      </c>
      <c r="CL41" s="3991" t="s">
        <v>452</v>
      </c>
      <c r="CM41" s="3992" t="s">
        <v>453</v>
      </c>
      <c r="CN41" s="3993"/>
      <c r="CO41" s="6539"/>
      <c r="CP41" s="2347"/>
      <c r="CQ41" s="2192"/>
      <c r="CW41" s="1220">
        <v>34</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3996">
        <f>OFFSET(AL42,0,-1)+1</f>
        <v>6</v>
      </c>
      <c r="AM42" s="3996"/>
      <c r="AN42" s="3996">
        <f>OFFSET(AN42,0,-1)+1</f>
        <v>1</v>
      </c>
      <c r="AO42" s="3996">
        <f>OFFSET(AO42,0,-1)+1</f>
        <v>2</v>
      </c>
      <c r="AP42" s="3996">
        <f>OFFSET(AP42,0,-1)+1</f>
        <v>3</v>
      </c>
      <c r="AQ42" s="3996">
        <f>OFFSET(AQ42,0,-1)+1</f>
        <v>4</v>
      </c>
      <c r="AR42" s="3996"/>
      <c r="AS42" s="3996">
        <f>OFFSET(AS42,0,-2)+1</f>
        <v>5</v>
      </c>
      <c r="AT42" s="3996">
        <f>OFFSET(AT42,0,-1)+1</f>
        <v>6</v>
      </c>
      <c r="AU42" s="3996"/>
      <c r="AV42" s="3996">
        <f>OFFSET(AV42,0,-1)+1</f>
        <v>1</v>
      </c>
      <c r="AW42" s="3996">
        <f>OFFSET(AW42,0,-1)+1</f>
        <v>2</v>
      </c>
      <c r="AX42" s="3996">
        <f>OFFSET(AX42,0,-1)+1</f>
        <v>3</v>
      </c>
      <c r="AY42" s="3996">
        <f>OFFSET(AY42,0,-1)+1</f>
        <v>4</v>
      </c>
      <c r="AZ42" s="3996"/>
      <c r="BA42" s="3996">
        <f>OFFSET(BA42,0,-2)+1</f>
        <v>5</v>
      </c>
      <c r="BB42" s="3996">
        <f>OFFSET(BB42,0,-1)+1</f>
        <v>6</v>
      </c>
      <c r="BC42" s="3996"/>
      <c r="BD42" s="3996">
        <f>OFFSET(BD42,0,-1)+1</f>
        <v>1</v>
      </c>
      <c r="BE42" s="3996">
        <f>OFFSET(BE42,0,-1)+1</f>
        <v>2</v>
      </c>
      <c r="BF42" s="3996">
        <f>OFFSET(BF42,0,-1)+1</f>
        <v>3</v>
      </c>
      <c r="BG42" s="3996">
        <f>OFFSET(BG42,0,-1)+1</f>
        <v>4</v>
      </c>
      <c r="BH42" s="3996"/>
      <c r="BI42" s="3996">
        <f>OFFSET(BI42,0,-2)+1</f>
        <v>5</v>
      </c>
      <c r="BJ42" s="3996">
        <f>OFFSET(BJ42,0,-1)+1</f>
        <v>6</v>
      </c>
      <c r="BK42" s="3996"/>
      <c r="BL42" s="3996">
        <f>OFFSET(BL42,0,-1)+1</f>
        <v>1</v>
      </c>
      <c r="BM42" s="3996">
        <f>OFFSET(BM42,0,-1)+1</f>
        <v>2</v>
      </c>
      <c r="BN42" s="3996">
        <f>OFFSET(BN42,0,-1)+1</f>
        <v>3</v>
      </c>
      <c r="BO42" s="3996">
        <f>OFFSET(BO42,0,-1)+1</f>
        <v>4</v>
      </c>
      <c r="BP42" s="3996"/>
      <c r="BQ42" s="3996">
        <f>OFFSET(BQ42,0,-2)+1</f>
        <v>5</v>
      </c>
      <c r="BR42" s="3996">
        <f>OFFSET(BR42,0,-1)+1</f>
        <v>6</v>
      </c>
      <c r="BS42" s="3996"/>
      <c r="BT42" s="3996">
        <f>OFFSET(BT42,0,-1)+1</f>
        <v>1</v>
      </c>
      <c r="BU42" s="3996">
        <f>OFFSET(BU42,0,-1)+1</f>
        <v>2</v>
      </c>
      <c r="BV42" s="3996">
        <f>OFFSET(BV42,0,-1)+1</f>
        <v>3</v>
      </c>
      <c r="BW42" s="3996">
        <f>OFFSET(BW42,0,-1)+1</f>
        <v>4</v>
      </c>
      <c r="BX42" s="3996"/>
      <c r="BY42" s="3996">
        <f>OFFSET(BY42,0,-2)+1</f>
        <v>5</v>
      </c>
      <c r="BZ42" s="3996">
        <f>OFFSET(BZ42,0,-1)+1</f>
        <v>6</v>
      </c>
      <c r="CA42" s="3996"/>
      <c r="CB42" s="3996">
        <f>OFFSET(CB42,0,-1)+1</f>
        <v>1</v>
      </c>
      <c r="CC42" s="3996">
        <f>OFFSET(CC42,0,-1)+1</f>
        <v>2</v>
      </c>
      <c r="CD42" s="3996">
        <f>OFFSET(CD42,0,-1)+1</f>
        <v>3</v>
      </c>
      <c r="CE42" s="3996">
        <f>OFFSET(CE42,0,-1)+1</f>
        <v>4</v>
      </c>
      <c r="CF42" s="3996"/>
      <c r="CG42" s="3996">
        <f>OFFSET(CG42,0,-2)+1</f>
        <v>5</v>
      </c>
      <c r="CH42" s="3996">
        <f>OFFSET(CH42,0,-1)+1</f>
        <v>6</v>
      </c>
      <c r="CI42" s="3996"/>
      <c r="CJ42" s="3996">
        <f>OFFSET(CJ42,0,-1)+1</f>
        <v>1</v>
      </c>
      <c r="CK42" s="3996">
        <f>OFFSET(CK42,0,-1)+1</f>
        <v>2</v>
      </c>
      <c r="CL42" s="3996">
        <f>OFFSET(CL42,0,-1)+1</f>
        <v>3</v>
      </c>
      <c r="CM42" s="3996">
        <f>OFFSET(CM42,0,-1)+1</f>
        <v>4</v>
      </c>
      <c r="CN42" s="3996"/>
      <c r="CO42" s="6540">
        <f>OFFSET(CO42,0,-2)+1</f>
        <v>5</v>
      </c>
      <c r="CP42" s="1310">
        <f>OFFSET(CP42,0,-1)</f>
        <v>5</v>
      </c>
      <c r="CQ42" s="1400">
        <f>OFFSET(CQ42,0,-1)+1</f>
        <v>6</v>
      </c>
      <c r="CR42" s="576"/>
      <c r="CS42" s="576"/>
      <c r="CT42" s="576"/>
      <c r="CU42" s="576"/>
      <c r="CV42" s="576"/>
      <c r="CW42" s="561">
        <v>0</v>
      </c>
    </row>
    <row customHeight="1" ht="22.049999999999997">
      <c r="A43" s="1428" t="s">
        <v>166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3781"/>
      <c r="AM43" s="3782"/>
      <c r="AN43" s="3782"/>
      <c r="AO43" s="3782"/>
      <c r="AP43" s="3782"/>
      <c r="AQ43" s="3782"/>
      <c r="AR43" s="3782"/>
      <c r="AS43" s="3783"/>
      <c r="AT43" s="3781"/>
      <c r="AU43" s="3782"/>
      <c r="AV43" s="3782"/>
      <c r="AW43" s="3782"/>
      <c r="AX43" s="3782"/>
      <c r="AY43" s="3782"/>
      <c r="AZ43" s="3782"/>
      <c r="BA43" s="3783"/>
      <c r="BB43" s="3781"/>
      <c r="BC43" s="3782"/>
      <c r="BD43" s="3782"/>
      <c r="BE43" s="3782"/>
      <c r="BF43" s="3782"/>
      <c r="BG43" s="3782"/>
      <c r="BH43" s="3782"/>
      <c r="BI43" s="3783"/>
      <c r="BJ43" s="3781"/>
      <c r="BK43" s="3782"/>
      <c r="BL43" s="3782"/>
      <c r="BM43" s="3782"/>
      <c r="BN43" s="3782"/>
      <c r="BO43" s="3782"/>
      <c r="BP43" s="3782"/>
      <c r="BQ43" s="3783"/>
      <c r="BR43" s="3781"/>
      <c r="BS43" s="3782"/>
      <c r="BT43" s="3782"/>
      <c r="BU43" s="3782"/>
      <c r="BV43" s="3782"/>
      <c r="BW43" s="3782"/>
      <c r="BX43" s="3782"/>
      <c r="BY43" s="3783"/>
      <c r="BZ43" s="3781"/>
      <c r="CA43" s="3782"/>
      <c r="CB43" s="3782"/>
      <c r="CC43" s="3782"/>
      <c r="CD43" s="3782"/>
      <c r="CE43" s="3782"/>
      <c r="CF43" s="3782"/>
      <c r="CG43" s="3783"/>
      <c r="CH43" s="3781"/>
      <c r="CI43" s="3782"/>
      <c r="CJ43" s="3782"/>
      <c r="CK43" s="3782"/>
      <c r="CL43" s="3782"/>
      <c r="CM43" s="3782"/>
      <c r="CN43" s="3782"/>
      <c r="CO43" s="6521"/>
      <c r="CP43" s="2309"/>
      <c r="CQ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65"/>
      <c r="CT43" s="565" t="str">
        <f>IF(T43="","",T43)</f>
        <v>Наименование тарифа</v>
      </c>
      <c r="CU43" s="565"/>
      <c r="CV43" s="565"/>
      <c r="CW43" s="1220">
        <v>21</v>
      </c>
    </row>
    <row customHeight="1" ht="22.049999999999997">
      <c r="A44" s="1428" t="s">
        <v>166</v>
      </c>
      <c r="B44" s="1428" t="s">
        <v>167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406</v>
      </c>
      <c r="U44" s="365"/>
      <c r="V44" s="2307"/>
      <c r="W44" s="2308"/>
      <c r="X44" s="2308"/>
      <c r="Y44" s="2308"/>
      <c r="Z44" s="2308"/>
      <c r="AA44" s="2308"/>
      <c r="AB44" s="2308"/>
      <c r="AC44" s="2309"/>
      <c r="AD44" s="2307" t="str">
        <f>INDEX(PT_DIFFERENTIATION_TER,MATCH(B44,PT_DIFFERENTIATION_TER_ID,0))</f>
        <v>без дифференциации</v>
      </c>
      <c r="AE44" s="2308"/>
      <c r="AF44" s="2308"/>
      <c r="AG44" s="2308"/>
      <c r="AH44" s="2308"/>
      <c r="AI44" s="2308"/>
      <c r="AJ44" s="2308"/>
      <c r="AK44" s="2308"/>
      <c r="AL44" s="3781"/>
      <c r="AM44" s="3782"/>
      <c r="AN44" s="3782"/>
      <c r="AO44" s="3782"/>
      <c r="AP44" s="3782"/>
      <c r="AQ44" s="3782"/>
      <c r="AR44" s="3782"/>
      <c r="AS44" s="3783"/>
      <c r="AT44" s="3781"/>
      <c r="AU44" s="3782"/>
      <c r="AV44" s="3782"/>
      <c r="AW44" s="3782"/>
      <c r="AX44" s="3782"/>
      <c r="AY44" s="3782"/>
      <c r="AZ44" s="3782"/>
      <c r="BA44" s="3783"/>
      <c r="BB44" s="3781"/>
      <c r="BC44" s="3782"/>
      <c r="BD44" s="3782"/>
      <c r="BE44" s="3782"/>
      <c r="BF44" s="3782"/>
      <c r="BG44" s="3782"/>
      <c r="BH44" s="3782"/>
      <c r="BI44" s="3783"/>
      <c r="BJ44" s="3781"/>
      <c r="BK44" s="3782"/>
      <c r="BL44" s="3782"/>
      <c r="BM44" s="3782"/>
      <c r="BN44" s="3782"/>
      <c r="BO44" s="3782"/>
      <c r="BP44" s="3782"/>
      <c r="BQ44" s="3783"/>
      <c r="BR44" s="3781"/>
      <c r="BS44" s="3782"/>
      <c r="BT44" s="3782"/>
      <c r="BU44" s="3782"/>
      <c r="BV44" s="3782"/>
      <c r="BW44" s="3782"/>
      <c r="BX44" s="3782"/>
      <c r="BY44" s="3783"/>
      <c r="BZ44" s="3781"/>
      <c r="CA44" s="3782"/>
      <c r="CB44" s="3782"/>
      <c r="CC44" s="3782"/>
      <c r="CD44" s="3782"/>
      <c r="CE44" s="3782"/>
      <c r="CF44" s="3782"/>
      <c r="CG44" s="3783"/>
      <c r="CH44" s="3781"/>
      <c r="CI44" s="3782"/>
      <c r="CJ44" s="3782"/>
      <c r="CK44" s="3782"/>
      <c r="CL44" s="3782"/>
      <c r="CM44" s="3782"/>
      <c r="CN44" s="3782"/>
      <c r="CO44" s="6521"/>
      <c r="CP44" s="2309"/>
      <c r="CQ44" s="1323" t="s">
        <v>407</v>
      </c>
      <c r="CS44" s="565"/>
      <c r="CT44" s="565" t="str">
        <f>IF(T44="","",T44)</f>
        <v>Территория действия тарифа</v>
      </c>
      <c r="CU44" s="565"/>
      <c r="CV44" s="565"/>
      <c r="CW44" s="1220">
        <v>21</v>
      </c>
    </row>
    <row customHeight="1" ht="24">
      <c r="A45" s="1428" t="s">
        <v>166</v>
      </c>
      <c r="B45" s="1428" t="s">
        <v>167</v>
      </c>
      <c r="C45" s="1428" t="s">
        <v>168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408</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781"/>
      <c r="AM45" s="3782"/>
      <c r="AN45" s="3782"/>
      <c r="AO45" s="3782"/>
      <c r="AP45" s="3782"/>
      <c r="AQ45" s="3782"/>
      <c r="AR45" s="3782"/>
      <c r="AS45" s="3783"/>
      <c r="AT45" s="3781"/>
      <c r="AU45" s="3782"/>
      <c r="AV45" s="3782"/>
      <c r="AW45" s="3782"/>
      <c r="AX45" s="3782"/>
      <c r="AY45" s="3782"/>
      <c r="AZ45" s="3782"/>
      <c r="BA45" s="3783"/>
      <c r="BB45" s="3781"/>
      <c r="BC45" s="3782"/>
      <c r="BD45" s="3782"/>
      <c r="BE45" s="3782"/>
      <c r="BF45" s="3782"/>
      <c r="BG45" s="3782"/>
      <c r="BH45" s="3782"/>
      <c r="BI45" s="3783"/>
      <c r="BJ45" s="3781"/>
      <c r="BK45" s="3782"/>
      <c r="BL45" s="3782"/>
      <c r="BM45" s="3782"/>
      <c r="BN45" s="3782"/>
      <c r="BO45" s="3782"/>
      <c r="BP45" s="3782"/>
      <c r="BQ45" s="3783"/>
      <c r="BR45" s="3781"/>
      <c r="BS45" s="3782"/>
      <c r="BT45" s="3782"/>
      <c r="BU45" s="3782"/>
      <c r="BV45" s="3782"/>
      <c r="BW45" s="3782"/>
      <c r="BX45" s="3782"/>
      <c r="BY45" s="3783"/>
      <c r="BZ45" s="3781"/>
      <c r="CA45" s="3782"/>
      <c r="CB45" s="3782"/>
      <c r="CC45" s="3782"/>
      <c r="CD45" s="3782"/>
      <c r="CE45" s="3782"/>
      <c r="CF45" s="3782"/>
      <c r="CG45" s="3783"/>
      <c r="CH45" s="3781"/>
      <c r="CI45" s="3782"/>
      <c r="CJ45" s="3782"/>
      <c r="CK45" s="3782"/>
      <c r="CL45" s="3782"/>
      <c r="CM45" s="3782"/>
      <c r="CN45" s="3782"/>
      <c r="CO45" s="6521"/>
      <c r="CP45" s="2309"/>
      <c r="CQ45" s="1323" t="s">
        <v>409</v>
      </c>
      <c r="CS45" s="565"/>
      <c r="CT45" s="565" t="str">
        <f>IF(T45="","",T45)</f>
        <v>Наименование системы теплоснабжения </v>
      </c>
      <c r="CU45" s="565"/>
      <c r="CV45" s="565"/>
      <c r="CW45" s="1220">
        <v>23</v>
      </c>
    </row>
    <row customHeight="1" ht="22.049999999999997">
      <c r="A46" s="1428" t="s">
        <v>166</v>
      </c>
      <c r="B46" s="1428" t="s">
        <v>167</v>
      </c>
      <c r="C46" s="1428" t="s">
        <v>168</v>
      </c>
      <c r="D46" s="1428" t="s">
        <v>169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410</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781"/>
      <c r="AM46" s="3782"/>
      <c r="AN46" s="3782"/>
      <c r="AO46" s="3782"/>
      <c r="AP46" s="3782"/>
      <c r="AQ46" s="3782"/>
      <c r="AR46" s="3782"/>
      <c r="AS46" s="3783"/>
      <c r="AT46" s="3781"/>
      <c r="AU46" s="3782"/>
      <c r="AV46" s="3782"/>
      <c r="AW46" s="3782"/>
      <c r="AX46" s="3782"/>
      <c r="AY46" s="3782"/>
      <c r="AZ46" s="3782"/>
      <c r="BA46" s="3783"/>
      <c r="BB46" s="3781"/>
      <c r="BC46" s="3782"/>
      <c r="BD46" s="3782"/>
      <c r="BE46" s="3782"/>
      <c r="BF46" s="3782"/>
      <c r="BG46" s="3782"/>
      <c r="BH46" s="3782"/>
      <c r="BI46" s="3783"/>
      <c r="BJ46" s="3781"/>
      <c r="BK46" s="3782"/>
      <c r="BL46" s="3782"/>
      <c r="BM46" s="3782"/>
      <c r="BN46" s="3782"/>
      <c r="BO46" s="3782"/>
      <c r="BP46" s="3782"/>
      <c r="BQ46" s="3783"/>
      <c r="BR46" s="3781"/>
      <c r="BS46" s="3782"/>
      <c r="BT46" s="3782"/>
      <c r="BU46" s="3782"/>
      <c r="BV46" s="3782"/>
      <c r="BW46" s="3782"/>
      <c r="BX46" s="3782"/>
      <c r="BY46" s="3783"/>
      <c r="BZ46" s="3781"/>
      <c r="CA46" s="3782"/>
      <c r="CB46" s="3782"/>
      <c r="CC46" s="3782"/>
      <c r="CD46" s="3782"/>
      <c r="CE46" s="3782"/>
      <c r="CF46" s="3782"/>
      <c r="CG46" s="3783"/>
      <c r="CH46" s="3781"/>
      <c r="CI46" s="3782"/>
      <c r="CJ46" s="3782"/>
      <c r="CK46" s="3782"/>
      <c r="CL46" s="3782"/>
      <c r="CM46" s="3782"/>
      <c r="CN46" s="3782"/>
      <c r="CO46" s="6521"/>
      <c r="CP46" s="2309"/>
      <c r="CQ46" s="1323" t="s">
        <v>411</v>
      </c>
      <c r="CS46" s="565"/>
      <c r="CT46" s="565" t="str">
        <f>IF(T46="","",T46)</f>
        <v>Источник тепловой энергии  </v>
      </c>
      <c r="CU46" s="565"/>
      <c r="CV46" s="565"/>
      <c r="CW46" s="1220">
        <v>21</v>
      </c>
    </row>
    <row customHeight="1" ht="49.5">
      <c r="A47" s="1428" t="s">
        <v>166</v>
      </c>
      <c r="B47" s="1428" t="s">
        <v>167</v>
      </c>
      <c r="C47" s="1428" t="s">
        <v>168</v>
      </c>
      <c r="D47" s="1428" t="s">
        <v>169</v>
      </c>
      <c r="E47" s="2324"/>
      <c r="F47" s="2324"/>
      <c r="G47" s="2324"/>
      <c r="H47" s="2324"/>
      <c r="I47" s="2321" t="str">
        <f>S46&amp;".1"</f>
        <v>1.1.1.1.1</v>
      </c>
      <c r="J47" s="1428"/>
      <c r="K47" s="1428"/>
      <c r="L47" s="1429" t="s">
        <v>412</v>
      </c>
      <c r="P47" s="2322">
        <v>1</v>
      </c>
      <c r="Q47" s="1396"/>
      <c r="R47" s="421"/>
      <c r="S47" s="1401" t="str">
        <f>$I47</f>
        <v>1.1.1.1.1</v>
      </c>
      <c r="T47" s="350" t="s">
        <v>413</v>
      </c>
      <c r="U47" s="365"/>
      <c r="V47" s="2310"/>
      <c r="W47" s="2311"/>
      <c r="X47" s="2311"/>
      <c r="Y47" s="2311"/>
      <c r="Z47" s="2311"/>
      <c r="AA47" s="2311"/>
      <c r="AB47" s="2311"/>
      <c r="AC47" s="2312"/>
      <c r="AD47" s="2310" t="s">
        <v>456</v>
      </c>
      <c r="AE47" s="2311"/>
      <c r="AF47" s="2311"/>
      <c r="AG47" s="2311"/>
      <c r="AH47" s="2311"/>
      <c r="AI47" s="2311"/>
      <c r="AJ47" s="2311"/>
      <c r="AK47" s="2311"/>
      <c r="AL47" s="3786"/>
      <c r="AM47" s="3787"/>
      <c r="AN47" s="3787"/>
      <c r="AO47" s="3787"/>
      <c r="AP47" s="3787"/>
      <c r="AQ47" s="3787"/>
      <c r="AR47" s="3787"/>
      <c r="AS47" s="3788"/>
      <c r="AT47" s="3786"/>
      <c r="AU47" s="3787"/>
      <c r="AV47" s="3787"/>
      <c r="AW47" s="3787"/>
      <c r="AX47" s="3787"/>
      <c r="AY47" s="3787"/>
      <c r="AZ47" s="3787"/>
      <c r="BA47" s="3788"/>
      <c r="BB47" s="3786"/>
      <c r="BC47" s="3787"/>
      <c r="BD47" s="3787"/>
      <c r="BE47" s="3787"/>
      <c r="BF47" s="3787"/>
      <c r="BG47" s="3787"/>
      <c r="BH47" s="3787"/>
      <c r="BI47" s="3788"/>
      <c r="BJ47" s="3786"/>
      <c r="BK47" s="3787"/>
      <c r="BL47" s="3787"/>
      <c r="BM47" s="3787"/>
      <c r="BN47" s="3787"/>
      <c r="BO47" s="3787"/>
      <c r="BP47" s="3787"/>
      <c r="BQ47" s="3788"/>
      <c r="BR47" s="3786"/>
      <c r="BS47" s="3787"/>
      <c r="BT47" s="3787"/>
      <c r="BU47" s="3787"/>
      <c r="BV47" s="3787"/>
      <c r="BW47" s="3787"/>
      <c r="BX47" s="3787"/>
      <c r="BY47" s="3788"/>
      <c r="BZ47" s="3786"/>
      <c r="CA47" s="3787"/>
      <c r="CB47" s="3787"/>
      <c r="CC47" s="3787"/>
      <c r="CD47" s="3787"/>
      <c r="CE47" s="3787"/>
      <c r="CF47" s="3787"/>
      <c r="CG47" s="3788"/>
      <c r="CH47" s="3786"/>
      <c r="CI47" s="3787"/>
      <c r="CJ47" s="3787"/>
      <c r="CK47" s="3787"/>
      <c r="CL47" s="3787"/>
      <c r="CM47" s="3787"/>
      <c r="CN47" s="3787"/>
      <c r="CO47" s="6522"/>
      <c r="CP47" s="2312"/>
      <c r="CQ47" s="1323" t="s">
        <v>414</v>
      </c>
      <c r="CS47" s="565"/>
      <c r="CT47" s="565" t="str">
        <f>IF(T47="","",T47)</f>
        <v>Схема подключения теплопотребляющей установки к коллектору источника тепловой энергии</v>
      </c>
      <c r="CU47" s="565"/>
      <c r="CV47" s="565"/>
      <c r="CW47" s="1220">
        <v>47</v>
      </c>
    </row>
    <row customHeight="1" ht="22.049999999999997">
      <c r="A48" s="1428" t="s">
        <v>166</v>
      </c>
      <c r="B48" s="1428" t="s">
        <v>167</v>
      </c>
      <c r="C48" s="1428" t="s">
        <v>168</v>
      </c>
      <c r="D48" s="1428" t="s">
        <v>169</v>
      </c>
      <c r="E48" s="2324"/>
      <c r="F48" s="2324"/>
      <c r="G48" s="2324"/>
      <c r="H48" s="2324"/>
      <c r="I48" s="2351"/>
      <c r="J48" s="2321" t="str">
        <f>I47&amp;".1"</f>
        <v>1.1.1.1.1.1</v>
      </c>
      <c r="K48" s="1428"/>
      <c r="L48" s="1429" t="s">
        <v>415</v>
      </c>
      <c r="P48" s="2322"/>
      <c r="Q48" s="2322">
        <v>1</v>
      </c>
      <c r="R48" s="422"/>
      <c r="S48" s="1401" t="str">
        <f>$J48</f>
        <v>1.1.1.1.1.1</v>
      </c>
      <c r="T48" s="351" t="s">
        <v>416</v>
      </c>
      <c r="U48" s="365"/>
      <c r="V48" s="2310"/>
      <c r="W48" s="2311"/>
      <c r="X48" s="2311"/>
      <c r="Y48" s="2311"/>
      <c r="Z48" s="2311"/>
      <c r="AA48" s="2311"/>
      <c r="AB48" s="2311"/>
      <c r="AC48" s="2312"/>
      <c r="AD48" s="2310" t="s">
        <v>457</v>
      </c>
      <c r="AE48" s="2311"/>
      <c r="AF48" s="2311"/>
      <c r="AG48" s="2311"/>
      <c r="AH48" s="2311"/>
      <c r="AI48" s="2311"/>
      <c r="AJ48" s="2311"/>
      <c r="AK48" s="2311"/>
      <c r="AL48" s="3786"/>
      <c r="AM48" s="3787"/>
      <c r="AN48" s="3787"/>
      <c r="AO48" s="3787"/>
      <c r="AP48" s="3787"/>
      <c r="AQ48" s="3787"/>
      <c r="AR48" s="3787"/>
      <c r="AS48" s="3788"/>
      <c r="AT48" s="3786"/>
      <c r="AU48" s="3787"/>
      <c r="AV48" s="3787"/>
      <c r="AW48" s="3787"/>
      <c r="AX48" s="3787"/>
      <c r="AY48" s="3787"/>
      <c r="AZ48" s="3787"/>
      <c r="BA48" s="3788"/>
      <c r="BB48" s="3786"/>
      <c r="BC48" s="3787"/>
      <c r="BD48" s="3787"/>
      <c r="BE48" s="3787"/>
      <c r="BF48" s="3787"/>
      <c r="BG48" s="3787"/>
      <c r="BH48" s="3787"/>
      <c r="BI48" s="3788"/>
      <c r="BJ48" s="3786"/>
      <c r="BK48" s="3787"/>
      <c r="BL48" s="3787"/>
      <c r="BM48" s="3787"/>
      <c r="BN48" s="3787"/>
      <c r="BO48" s="3787"/>
      <c r="BP48" s="3787"/>
      <c r="BQ48" s="3788"/>
      <c r="BR48" s="3786"/>
      <c r="BS48" s="3787"/>
      <c r="BT48" s="3787"/>
      <c r="BU48" s="3787"/>
      <c r="BV48" s="3787"/>
      <c r="BW48" s="3787"/>
      <c r="BX48" s="3787"/>
      <c r="BY48" s="3788"/>
      <c r="BZ48" s="3786"/>
      <c r="CA48" s="3787"/>
      <c r="CB48" s="3787"/>
      <c r="CC48" s="3787"/>
      <c r="CD48" s="3787"/>
      <c r="CE48" s="3787"/>
      <c r="CF48" s="3787"/>
      <c r="CG48" s="3788"/>
      <c r="CH48" s="3786"/>
      <c r="CI48" s="3787"/>
      <c r="CJ48" s="3787"/>
      <c r="CK48" s="3787"/>
      <c r="CL48" s="3787"/>
      <c r="CM48" s="3787"/>
      <c r="CN48" s="3787"/>
      <c r="CO48" s="6522"/>
      <c r="CP48" s="2312"/>
      <c r="CQ48" s="1323" t="s">
        <v>417</v>
      </c>
      <c r="CS48" s="565"/>
      <c r="CT48" s="565" t="str">
        <f>IF(T48="","",T48)</f>
        <v>Группа потребителей</v>
      </c>
      <c r="CU48" s="565"/>
      <c r="CV48" s="565"/>
      <c r="CW48" s="1220">
        <v>21</v>
      </c>
    </row>
    <row customHeight="1" ht="22.049999999999997">
      <c r="A49" s="1428" t="s">
        <v>166</v>
      </c>
      <c r="B49" s="1428" t="s">
        <v>167</v>
      </c>
      <c r="C49" s="1428" t="s">
        <v>168</v>
      </c>
      <c r="D49" s="1428" t="s">
        <v>169</v>
      </c>
      <c r="E49" s="2324"/>
      <c r="F49" s="2324"/>
      <c r="G49" s="2324"/>
      <c r="H49" s="2324"/>
      <c r="I49" s="2351"/>
      <c r="J49" s="2351"/>
      <c r="K49" s="2321" t="str">
        <f>J48&amp;".1"</f>
        <v>1.1.1.1.1.1.1</v>
      </c>
      <c r="L49" s="1429" t="s">
        <v>418</v>
      </c>
      <c r="P49" s="2322"/>
      <c r="Q49" s="2322"/>
      <c r="R49" s="422">
        <v>1</v>
      </c>
      <c r="S49" s="1401" t="str">
        <f>$K49</f>
        <v>1.1.1.1.1.1.1</v>
      </c>
      <c r="T49" s="1412" t="s">
        <v>458</v>
      </c>
      <c r="U49" s="365"/>
      <c r="V49" s="6293"/>
      <c r="W49" s="6293"/>
      <c r="X49" s="6293"/>
      <c r="Y49" s="4724"/>
      <c r="Z49" s="4725"/>
      <c r="AA49" s="4726" t="s">
        <v>64</v>
      </c>
      <c r="AB49" s="4725"/>
      <c r="AC49" s="4726" t="s">
        <v>64</v>
      </c>
      <c r="AD49" s="816">
        <v>2898.16</v>
      </c>
      <c r="AE49" s="390"/>
      <c r="AF49" s="816"/>
      <c r="AG49" s="1322"/>
      <c r="AH49" s="6462">
        <v>46023.560740740744</v>
      </c>
      <c r="AI49" s="2172" t="s">
        <v>64</v>
      </c>
      <c r="AJ49" s="3997">
        <v>46295.56082175926</v>
      </c>
      <c r="AK49" s="2172" t="s">
        <v>64</v>
      </c>
      <c r="AL49" s="3789">
        <v>2898.16</v>
      </c>
      <c r="AM49" s="3790"/>
      <c r="AN49" s="3789"/>
      <c r="AO49" s="3791"/>
      <c r="AP49" s="6462">
        <v>46296.56313657408</v>
      </c>
      <c r="AQ49" s="3121" t="s">
        <v>64</v>
      </c>
      <c r="AR49" s="6462">
        <v>46387.56369212963</v>
      </c>
      <c r="AS49" s="3121" t="s">
        <v>64</v>
      </c>
      <c r="AT49" s="3789">
        <v>3013.81</v>
      </c>
      <c r="AU49" s="3790"/>
      <c r="AV49" s="3789"/>
      <c r="AW49" s="3791"/>
      <c r="AX49" s="6462">
        <v>46388.56449074074</v>
      </c>
      <c r="AY49" s="3121" t="s">
        <v>64</v>
      </c>
      <c r="AZ49" s="6462">
        <v>46568.56518518519</v>
      </c>
      <c r="BA49" s="3121" t="s">
        <v>64</v>
      </c>
      <c r="BB49" s="3789">
        <v>3091.74</v>
      </c>
      <c r="BC49" s="3790"/>
      <c r="BD49" s="3789"/>
      <c r="BE49" s="3791"/>
      <c r="BF49" s="6462">
        <v>46569.56576388889</v>
      </c>
      <c r="BG49" s="3121" t="s">
        <v>64</v>
      </c>
      <c r="BH49" s="6462">
        <v>46752.56648148148</v>
      </c>
      <c r="BI49" s="3121" t="s">
        <v>64</v>
      </c>
      <c r="BJ49" s="3789">
        <v>3091.74</v>
      </c>
      <c r="BK49" s="3790"/>
      <c r="BL49" s="3789"/>
      <c r="BM49" s="3791"/>
      <c r="BN49" s="6462">
        <v>46753.56737268518</v>
      </c>
      <c r="BO49" s="3121" t="s">
        <v>64</v>
      </c>
      <c r="BP49" s="6462">
        <v>46934.56793981481</v>
      </c>
      <c r="BQ49" s="3121" t="s">
        <v>64</v>
      </c>
      <c r="BR49" s="3789">
        <v>3091.74</v>
      </c>
      <c r="BS49" s="3790"/>
      <c r="BT49" s="3789"/>
      <c r="BU49" s="3791"/>
      <c r="BV49" s="6462">
        <v>46935.56916666667</v>
      </c>
      <c r="BW49" s="3121" t="s">
        <v>64</v>
      </c>
      <c r="BX49" s="6462">
        <v>47118.56953703704</v>
      </c>
      <c r="BY49" s="3121" t="s">
        <v>19</v>
      </c>
      <c r="BZ49" s="6293"/>
      <c r="CA49" s="6293"/>
      <c r="CB49" s="6293"/>
      <c r="CC49" s="4724"/>
      <c r="CD49" s="4725"/>
      <c r="CE49" s="4726" t="s">
        <v>64</v>
      </c>
      <c r="CF49" s="4725"/>
      <c r="CG49" s="4726" t="s">
        <v>64</v>
      </c>
      <c r="CH49" s="6293"/>
      <c r="CI49" s="6293"/>
      <c r="CJ49" s="6293"/>
      <c r="CK49" s="4724"/>
      <c r="CL49" s="4725"/>
      <c r="CM49" s="4726" t="s">
        <v>64</v>
      </c>
      <c r="CN49" s="4725"/>
      <c r="CO49" s="6554" t="s">
        <v>64</v>
      </c>
      <c r="CP49" s="1413"/>
      <c r="CQ49" s="2318" t="s">
        <v>419</v>
      </c>
      <c r="CR49" s="576">
        <f>STRCHECKDATE(V50:CP50)</f>
      </c>
      <c r="CS49" s="565"/>
      <c r="CT49" s="565" t="str">
        <f>IF(T49="","",T49)</f>
        <v>вода</v>
      </c>
      <c r="CU49" s="565"/>
      <c r="CV49" s="565"/>
      <c r="CW49" s="1220">
        <v>21</v>
      </c>
    </row>
    <row customHeight="1" ht="1.05">
      <c r="A50" s="1428" t="s">
        <v>166</v>
      </c>
      <c r="B50" s="1428" t="s">
        <v>167</v>
      </c>
      <c r="C50" s="1428" t="s">
        <v>168</v>
      </c>
      <c r="D50" s="1428" t="s">
        <v>169</v>
      </c>
      <c r="E50" s="2324"/>
      <c r="F50" s="2324"/>
      <c r="G50" s="2324"/>
      <c r="H50" s="2324"/>
      <c r="I50" s="2351"/>
      <c r="J50" s="2351"/>
      <c r="K50" s="2321"/>
      <c r="L50" s="1429"/>
      <c r="P50" s="2322"/>
      <c r="Q50" s="2322"/>
      <c r="R50" s="422"/>
      <c r="S50" s="1407"/>
      <c r="T50" s="365"/>
      <c r="U50" s="365"/>
      <c r="V50" s="6293"/>
      <c r="W50" s="6293"/>
      <c r="X50" s="6293"/>
      <c r="Y50" s="3794" t="str">
        <f>Z49&amp;"-"&amp;AB49</f>
        <v>-</v>
      </c>
      <c r="Z50" s="4726"/>
      <c r="AA50" s="4726"/>
      <c r="AB50" s="4726"/>
      <c r="AC50" s="4726"/>
      <c r="AD50" s="390"/>
      <c r="AE50" s="390"/>
      <c r="AF50" s="390"/>
      <c r="AG50" s="393" t="str">
        <f>AH49&amp;"-"&amp;AJ49</f>
        <v>46023.560740740744-46295.56082175926</v>
      </c>
      <c r="AH50" s="2331"/>
      <c r="AI50" s="2172"/>
      <c r="AJ50" s="2353"/>
      <c r="AK50" s="2172"/>
      <c r="AL50" s="3790"/>
      <c r="AM50" s="3790"/>
      <c r="AN50" s="3790"/>
      <c r="AO50" s="3794" t="str">
        <f>AP49&amp;"-"&amp;AR49</f>
        <v>46296.56313657408-46387.56369212963</v>
      </c>
      <c r="AP50" s="3795"/>
      <c r="AQ50" s="3121"/>
      <c r="AR50" s="3795"/>
      <c r="AS50" s="3121"/>
      <c r="AT50" s="3790"/>
      <c r="AU50" s="3790"/>
      <c r="AV50" s="3790"/>
      <c r="AW50" s="3794" t="str">
        <f>AX49&amp;"-"&amp;AZ49</f>
        <v>46388.56449074074-46568.56518518519</v>
      </c>
      <c r="AX50" s="3795"/>
      <c r="AY50" s="3121"/>
      <c r="AZ50" s="3795"/>
      <c r="BA50" s="3121"/>
      <c r="BB50" s="3790"/>
      <c r="BC50" s="3790"/>
      <c r="BD50" s="3790"/>
      <c r="BE50" s="3794" t="str">
        <f>BF49&amp;"-"&amp;BH49</f>
        <v>46569.56576388889-46752.56648148148</v>
      </c>
      <c r="BF50" s="3795"/>
      <c r="BG50" s="3121"/>
      <c r="BH50" s="3795"/>
      <c r="BI50" s="3121"/>
      <c r="BJ50" s="3790"/>
      <c r="BK50" s="3790"/>
      <c r="BL50" s="3790"/>
      <c r="BM50" s="3794" t="str">
        <f>BN49&amp;"-"&amp;BP49</f>
        <v>46753.56737268518-46934.56793981481</v>
      </c>
      <c r="BN50" s="3795"/>
      <c r="BO50" s="3121"/>
      <c r="BP50" s="3795"/>
      <c r="BQ50" s="3121"/>
      <c r="BR50" s="3790"/>
      <c r="BS50" s="3790"/>
      <c r="BT50" s="3790"/>
      <c r="BU50" s="3794" t="str">
        <f>BV49&amp;"-"&amp;BX49</f>
        <v>46935.56916666667-47118.56953703704</v>
      </c>
      <c r="BV50" s="3795"/>
      <c r="BW50" s="3121"/>
      <c r="BX50" s="3795"/>
      <c r="BY50" s="3121"/>
      <c r="BZ50" s="6293"/>
      <c r="CA50" s="6293"/>
      <c r="CB50" s="6293"/>
      <c r="CC50" s="3794" t="str">
        <f>CD49&amp;"-"&amp;CF49</f>
        <v>-</v>
      </c>
      <c r="CD50" s="4726"/>
      <c r="CE50" s="4726"/>
      <c r="CF50" s="4726"/>
      <c r="CG50" s="4726"/>
      <c r="CH50" s="6293"/>
      <c r="CI50" s="6293"/>
      <c r="CJ50" s="6293"/>
      <c r="CK50" s="3794" t="str">
        <f>CL49&amp;"-"&amp;CN49</f>
        <v>-</v>
      </c>
      <c r="CL50" s="4726"/>
      <c r="CM50" s="4726"/>
      <c r="CN50" s="4726"/>
      <c r="CO50" s="6554"/>
      <c r="CP50" s="1414"/>
      <c r="CQ50" s="2319"/>
      <c r="CS50" s="565"/>
      <c r="CT50" s="565" t="str">
        <f>IF(T50="","",T50)</f>
        <v/>
      </c>
      <c r="CU50" s="565"/>
      <c r="CV50" s="565"/>
      <c r="CW50" s="1220">
        <v>1</v>
      </c>
    </row>
    <row customHeight="1" ht="11.549999999999999">
      <c r="A51" s="1428" t="s">
        <v>166</v>
      </c>
      <c r="B51" s="1428" t="s">
        <v>167</v>
      </c>
      <c r="C51" s="1428" t="s">
        <v>168</v>
      </c>
      <c r="D51" s="1428" t="s">
        <v>169</v>
      </c>
      <c r="E51" s="2324"/>
      <c r="F51" s="2324"/>
      <c r="G51" s="2324"/>
      <c r="H51" s="2324"/>
      <c r="I51" s="2351"/>
      <c r="J51" s="2321"/>
      <c r="K51" s="1428"/>
      <c r="L51" s="1429"/>
      <c r="P51" s="2322"/>
      <c r="Q51" s="2322"/>
      <c r="R51" s="421"/>
      <c r="S51" s="1343"/>
      <c r="T51" s="353" t="s">
        <v>420</v>
      </c>
      <c r="U51" s="432"/>
      <c r="V51" s="432"/>
      <c r="W51" s="432"/>
      <c r="X51" s="432"/>
      <c r="Y51" s="432"/>
      <c r="Z51" s="432"/>
      <c r="AA51" s="432"/>
      <c r="AB51" s="432"/>
      <c r="AC51" s="432"/>
      <c r="AD51" s="432"/>
      <c r="AE51" s="432"/>
      <c r="AF51" s="432"/>
      <c r="AG51" s="432"/>
      <c r="AH51" s="432"/>
      <c r="AI51" s="432"/>
      <c r="AJ51" s="432"/>
      <c r="AK51" s="432"/>
      <c r="AL51" s="3998"/>
      <c r="AM51" s="3999"/>
      <c r="AN51" s="4000"/>
      <c r="AO51" s="4001"/>
      <c r="AP51" s="4002"/>
      <c r="AQ51" s="4003"/>
      <c r="AR51" s="4004"/>
      <c r="AS51" s="4005"/>
      <c r="AT51" s="4006"/>
      <c r="AU51" s="4007"/>
      <c r="AV51" s="4008"/>
      <c r="AW51" s="4009"/>
      <c r="AX51" s="4010"/>
      <c r="AY51" s="4011"/>
      <c r="AZ51" s="4012"/>
      <c r="BA51" s="4013"/>
      <c r="BB51" s="4014"/>
      <c r="BC51" s="4015"/>
      <c r="BD51" s="4016"/>
      <c r="BE51" s="4017"/>
      <c r="BF51" s="4018"/>
      <c r="BG51" s="4019"/>
      <c r="BH51" s="4020"/>
      <c r="BI51" s="4021"/>
      <c r="BJ51" s="4022"/>
      <c r="BK51" s="4023"/>
      <c r="BL51" s="4024"/>
      <c r="BM51" s="4025"/>
      <c r="BN51" s="4026"/>
      <c r="BO51" s="4027"/>
      <c r="BP51" s="4028"/>
      <c r="BQ51" s="4029"/>
      <c r="BR51" s="4030"/>
      <c r="BS51" s="4031"/>
      <c r="BT51" s="4032"/>
      <c r="BU51" s="4033"/>
      <c r="BV51" s="4034"/>
      <c r="BW51" s="4035"/>
      <c r="BX51" s="4036"/>
      <c r="BY51" s="4037"/>
      <c r="BZ51" s="4038"/>
      <c r="CA51" s="4039"/>
      <c r="CB51" s="4040"/>
      <c r="CC51" s="4041"/>
      <c r="CD51" s="4042"/>
      <c r="CE51" s="4043"/>
      <c r="CF51" s="4044"/>
      <c r="CG51" s="4045"/>
      <c r="CH51" s="4046"/>
      <c r="CI51" s="4047"/>
      <c r="CJ51" s="4048"/>
      <c r="CK51" s="4049"/>
      <c r="CL51" s="4050"/>
      <c r="CM51" s="4051"/>
      <c r="CN51" s="4052"/>
      <c r="CO51" s="6541"/>
      <c r="CP51" s="389"/>
      <c r="CQ51" s="2320"/>
      <c r="CS51" s="565"/>
      <c r="CT51" s="565" t="str">
        <f>IF(T51="","",T51)</f>
        <v>Добавить вид теплоносителя (параметры теплоносителя)</v>
      </c>
      <c r="CU51" s="565"/>
      <c r="CV51" s="565"/>
      <c r="CW51" s="1220">
        <v>11</v>
      </c>
    </row>
    <row s="6516" customFormat="1" customHeight="1" ht="21">
      <c r="A52" s="4055"/>
      <c r="B52" s="4055"/>
      <c r="C52" s="4055"/>
      <c r="D52" s="4055"/>
      <c r="E52" s="4056"/>
      <c r="F52" s="4056"/>
      <c r="G52" s="4056"/>
      <c r="H52" s="4056"/>
      <c r="I52" s="4057"/>
      <c r="J52" s="4058" t="str">
        <f>I47&amp;".2"</f>
        <v>1.1.1.1.1.2</v>
      </c>
      <c r="K52" s="4055"/>
      <c r="L52" s="4059" t="s">
        <v>415</v>
      </c>
      <c r="M52" s="3966"/>
      <c r="N52" s="3966"/>
      <c r="O52" s="4060"/>
      <c r="P52" s="4061"/>
      <c r="Q52" s="4062" t="s">
        <v>454</v>
      </c>
      <c r="R52" s="4063"/>
      <c r="S52" s="4064" t="str">
        <f>$J52</f>
        <v>1.1.1.1.1.2</v>
      </c>
      <c r="T52" s="4065" t="s">
        <v>416</v>
      </c>
      <c r="U52" s="4066"/>
      <c r="V52" s="3786"/>
      <c r="W52" s="3787"/>
      <c r="X52" s="3787"/>
      <c r="Y52" s="3787"/>
      <c r="Z52" s="3787"/>
      <c r="AA52" s="3787"/>
      <c r="AB52" s="3787"/>
      <c r="AC52" s="3788"/>
      <c r="AD52" s="3786" t="s">
        <v>459</v>
      </c>
      <c r="AE52" s="3787"/>
      <c r="AF52" s="3787"/>
      <c r="AG52" s="3787"/>
      <c r="AH52" s="3787"/>
      <c r="AI52" s="3787"/>
      <c r="AJ52" s="3787"/>
      <c r="AK52" s="3787"/>
      <c r="AL52" s="3786"/>
      <c r="AM52" s="3787"/>
      <c r="AN52" s="3787"/>
      <c r="AO52" s="3787"/>
      <c r="AP52" s="3787"/>
      <c r="AQ52" s="3787"/>
      <c r="AR52" s="3787"/>
      <c r="AS52" s="3788"/>
      <c r="AT52" s="3786"/>
      <c r="AU52" s="3787"/>
      <c r="AV52" s="3787"/>
      <c r="AW52" s="3787"/>
      <c r="AX52" s="3787"/>
      <c r="AY52" s="3787"/>
      <c r="AZ52" s="3787"/>
      <c r="BA52" s="3788"/>
      <c r="BB52" s="3786"/>
      <c r="BC52" s="3787"/>
      <c r="BD52" s="3787"/>
      <c r="BE52" s="3787"/>
      <c r="BF52" s="3787"/>
      <c r="BG52" s="3787"/>
      <c r="BH52" s="3787"/>
      <c r="BI52" s="3788"/>
      <c r="BJ52" s="3786"/>
      <c r="BK52" s="3787"/>
      <c r="BL52" s="3787"/>
      <c r="BM52" s="3787"/>
      <c r="BN52" s="3787"/>
      <c r="BO52" s="3787"/>
      <c r="BP52" s="3787"/>
      <c r="BQ52" s="3788"/>
      <c r="BR52" s="3786"/>
      <c r="BS52" s="3787"/>
      <c r="BT52" s="3787"/>
      <c r="BU52" s="3787"/>
      <c r="BV52" s="3787"/>
      <c r="BW52" s="3787"/>
      <c r="BX52" s="3787"/>
      <c r="BY52" s="3788"/>
      <c r="BZ52" s="3786"/>
      <c r="CA52" s="3787"/>
      <c r="CB52" s="3787"/>
      <c r="CC52" s="3787"/>
      <c r="CD52" s="3787"/>
      <c r="CE52" s="3787"/>
      <c r="CF52" s="3787"/>
      <c r="CG52" s="3788"/>
      <c r="CH52" s="3786"/>
      <c r="CI52" s="3787"/>
      <c r="CJ52" s="3787"/>
      <c r="CK52" s="3787"/>
      <c r="CL52" s="3787"/>
      <c r="CM52" s="3787"/>
      <c r="CN52" s="3787"/>
      <c r="CO52" s="6522"/>
      <c r="CP52" s="3788"/>
      <c r="CQ52" s="4067" t="s">
        <v>417</v>
      </c>
      <c r="CR52" s="3975"/>
      <c r="CS52" s="4068"/>
      <c r="CT52" s="4068" t="str">
        <f>IF(T52="","",T52)</f>
        <v>Группа потребителей</v>
      </c>
      <c r="CU52" s="4068"/>
      <c r="CV52" s="4068"/>
      <c r="CW52" s="3779">
        <v>0</v>
      </c>
    </row>
    <row s="6516" customFormat="1" customHeight="1" ht="21">
      <c r="A53" s="4055"/>
      <c r="B53" s="4055"/>
      <c r="C53" s="4055"/>
      <c r="D53" s="4055"/>
      <c r="E53" s="4056"/>
      <c r="F53" s="4056"/>
      <c r="G53" s="4056"/>
      <c r="H53" s="4056"/>
      <c r="I53" s="4057"/>
      <c r="J53" s="4057" t="str">
        <f>I47&amp;".1"</f>
        <v>1.1.1.1.1.1</v>
      </c>
      <c r="K53" s="4058" t="str">
        <f>J52&amp;".1"</f>
        <v>1.1.1.1.1.2.1</v>
      </c>
      <c r="L53" s="4059" t="s">
        <v>418</v>
      </c>
      <c r="M53" s="3966"/>
      <c r="N53" s="3966"/>
      <c r="O53" s="3966"/>
      <c r="P53" s="4061"/>
      <c r="Q53" s="4061"/>
      <c r="R53" s="4063">
        <v>1</v>
      </c>
      <c r="S53" s="4064" t="str">
        <f>$K53</f>
        <v>1.1.1.1.1.2.1</v>
      </c>
      <c r="T53" s="4070" t="s">
        <v>458</v>
      </c>
      <c r="U53" s="4066"/>
      <c r="V53" s="6293"/>
      <c r="W53" s="6293"/>
      <c r="X53" s="6293"/>
      <c r="Y53" s="4724"/>
      <c r="Z53" s="4725"/>
      <c r="AA53" s="4726" t="s">
        <v>64</v>
      </c>
      <c r="AB53" s="4725"/>
      <c r="AC53" s="4726" t="s">
        <v>64</v>
      </c>
      <c r="AD53" s="3789">
        <v>3031.93</v>
      </c>
      <c r="AE53" s="3790"/>
      <c r="AF53" s="3789"/>
      <c r="AG53" s="3791"/>
      <c r="AH53" s="6462">
        <v>46023.56092592593</v>
      </c>
      <c r="AI53" s="3121" t="s">
        <v>64</v>
      </c>
      <c r="AJ53" s="6462">
        <v>46295.562430555554</v>
      </c>
      <c r="AK53" s="3121" t="s">
        <v>64</v>
      </c>
      <c r="AL53" s="3789">
        <v>3395.76</v>
      </c>
      <c r="AM53" s="3790"/>
      <c r="AN53" s="3789"/>
      <c r="AO53" s="3791"/>
      <c r="AP53" s="6462">
        <v>46296.56322916667</v>
      </c>
      <c r="AQ53" s="3121" t="s">
        <v>64</v>
      </c>
      <c r="AR53" s="6462">
        <v>46387.56387731482</v>
      </c>
      <c r="AS53" s="3121" t="s">
        <v>64</v>
      </c>
      <c r="AT53" s="3789">
        <v>3395.77</v>
      </c>
      <c r="AU53" s="3790"/>
      <c r="AV53" s="3789"/>
      <c r="AW53" s="3791"/>
      <c r="AX53" s="6462">
        <v>46388.564571759256</v>
      </c>
      <c r="AY53" s="3121" t="s">
        <v>64</v>
      </c>
      <c r="AZ53" s="6462">
        <v>46568.565254629626</v>
      </c>
      <c r="BA53" s="3121" t="s">
        <v>64</v>
      </c>
      <c r="BB53" s="3789">
        <v>3120.57</v>
      </c>
      <c r="BC53" s="3790"/>
      <c r="BD53" s="3789"/>
      <c r="BE53" s="3791"/>
      <c r="BF53" s="6462">
        <v>46569.5658912037</v>
      </c>
      <c r="BG53" s="3121" t="s">
        <v>64</v>
      </c>
      <c r="BH53" s="6462">
        <v>46752.56670138889</v>
      </c>
      <c r="BI53" s="3121" t="s">
        <v>64</v>
      </c>
      <c r="BJ53" s="3789">
        <f>BB53</f>
        <v>3120.57</v>
      </c>
      <c r="BK53" s="3790"/>
      <c r="BL53" s="3789"/>
      <c r="BM53" s="3791"/>
      <c r="BN53" s="6462">
        <v>46753.56747685185</v>
      </c>
      <c r="BO53" s="3121" t="s">
        <v>64</v>
      </c>
      <c r="BP53" s="6462">
        <v>46934.56800925926</v>
      </c>
      <c r="BQ53" s="3121" t="s">
        <v>64</v>
      </c>
      <c r="BR53" s="3789">
        <v>3245.39</v>
      </c>
      <c r="BS53" s="3790"/>
      <c r="BT53" s="3789"/>
      <c r="BU53" s="3791"/>
      <c r="BV53" s="6462">
        <v>46935.569236111114</v>
      </c>
      <c r="BW53" s="3121" t="s">
        <v>64</v>
      </c>
      <c r="BX53" s="6462">
        <v>47118.56962962963</v>
      </c>
      <c r="BY53" s="3121" t="s">
        <v>19</v>
      </c>
      <c r="BZ53" s="6293"/>
      <c r="CA53" s="6293"/>
      <c r="CB53" s="6293"/>
      <c r="CC53" s="4724"/>
      <c r="CD53" s="4725"/>
      <c r="CE53" s="4726" t="s">
        <v>64</v>
      </c>
      <c r="CF53" s="4725"/>
      <c r="CG53" s="4726" t="s">
        <v>64</v>
      </c>
      <c r="CH53" s="6293"/>
      <c r="CI53" s="6293"/>
      <c r="CJ53" s="6293"/>
      <c r="CK53" s="4724"/>
      <c r="CL53" s="4725"/>
      <c r="CM53" s="4726" t="s">
        <v>64</v>
      </c>
      <c r="CN53" s="4725"/>
      <c r="CO53" s="6554" t="s">
        <v>64</v>
      </c>
      <c r="CP53" s="3790"/>
      <c r="CQ53" s="4071" t="s">
        <v>419</v>
      </c>
      <c r="CR53" s="3975">
        <f>STRCHECKDATE(V54:CP54)</f>
      </c>
      <c r="CS53" s="4068"/>
      <c r="CT53" s="4068" t="str">
        <f>IF(T53="","",T53)</f>
        <v>вода</v>
      </c>
      <c r="CU53" s="4068"/>
      <c r="CV53" s="4068"/>
      <c r="CW53" s="3779">
        <v>0</v>
      </c>
    </row>
    <row s="6516" customFormat="1" customHeight="1" ht="0.75">
      <c r="A54" s="4055"/>
      <c r="B54" s="4055"/>
      <c r="C54" s="4055"/>
      <c r="D54" s="4055"/>
      <c r="E54" s="4056"/>
      <c r="F54" s="4056"/>
      <c r="G54" s="4056"/>
      <c r="H54" s="4056"/>
      <c r="I54" s="4057"/>
      <c r="J54" s="4057" t="str">
        <f>I47&amp;".1"</f>
        <v>1.1.1.1.1.1</v>
      </c>
      <c r="K54" s="4058"/>
      <c r="L54" s="4059"/>
      <c r="M54" s="3966"/>
      <c r="N54" s="3966"/>
      <c r="O54" s="3966"/>
      <c r="P54" s="4061"/>
      <c r="Q54" s="4061"/>
      <c r="R54" s="4063"/>
      <c r="S54" s="4073"/>
      <c r="T54" s="4066"/>
      <c r="U54" s="4066"/>
      <c r="V54" s="6293"/>
      <c r="W54" s="6293"/>
      <c r="X54" s="6293"/>
      <c r="Y54" s="3794" t="str">
        <f>Z53&amp;"-"&amp;AB53</f>
        <v>-</v>
      </c>
      <c r="Z54" s="4726"/>
      <c r="AA54" s="4726"/>
      <c r="AB54" s="4726"/>
      <c r="AC54" s="4726"/>
      <c r="AD54" s="3790"/>
      <c r="AE54" s="3790"/>
      <c r="AF54" s="3790"/>
      <c r="AG54" s="3794" t="str">
        <f>AH53&amp;"-"&amp;AJ53</f>
        <v>46023.56092592593-46295.562430555554</v>
      </c>
      <c r="AH54" s="3795"/>
      <c r="AI54" s="3121"/>
      <c r="AJ54" s="3795"/>
      <c r="AK54" s="3121"/>
      <c r="AL54" s="3790"/>
      <c r="AM54" s="3790"/>
      <c r="AN54" s="3790"/>
      <c r="AO54" s="3794" t="str">
        <f>AP53&amp;"-"&amp;AR53</f>
        <v>46296.56322916667-46387.56387731482</v>
      </c>
      <c r="AP54" s="3795"/>
      <c r="AQ54" s="3121"/>
      <c r="AR54" s="3795"/>
      <c r="AS54" s="3121"/>
      <c r="AT54" s="3790"/>
      <c r="AU54" s="3790"/>
      <c r="AV54" s="3790"/>
      <c r="AW54" s="3794" t="str">
        <f>AX53&amp;"-"&amp;AZ53</f>
        <v>46388.564571759256-46568.565254629626</v>
      </c>
      <c r="AX54" s="3795"/>
      <c r="AY54" s="3121"/>
      <c r="AZ54" s="3795"/>
      <c r="BA54" s="3121"/>
      <c r="BB54" s="3790"/>
      <c r="BC54" s="3790"/>
      <c r="BD54" s="3790"/>
      <c r="BE54" s="3794" t="str">
        <f>BF53&amp;"-"&amp;BH53</f>
        <v>46569.5658912037-46752.56670138889</v>
      </c>
      <c r="BF54" s="3795"/>
      <c r="BG54" s="3121"/>
      <c r="BH54" s="3795"/>
      <c r="BI54" s="3121"/>
      <c r="BJ54" s="3790"/>
      <c r="BK54" s="3790"/>
      <c r="BL54" s="3790"/>
      <c r="BM54" s="3794" t="str">
        <f>BN53&amp;"-"&amp;BP53</f>
        <v>46753.56747685185-46934.56800925926</v>
      </c>
      <c r="BN54" s="3795"/>
      <c r="BO54" s="3121"/>
      <c r="BP54" s="3795"/>
      <c r="BQ54" s="3121"/>
      <c r="BR54" s="3790"/>
      <c r="BS54" s="3790"/>
      <c r="BT54" s="3790"/>
      <c r="BU54" s="3794" t="str">
        <f>BV53&amp;"-"&amp;BX53</f>
        <v>46935.569236111114-47118.56962962963</v>
      </c>
      <c r="BV54" s="3795"/>
      <c r="BW54" s="3121"/>
      <c r="BX54" s="3795"/>
      <c r="BY54" s="3121"/>
      <c r="BZ54" s="6293"/>
      <c r="CA54" s="6293"/>
      <c r="CB54" s="6293"/>
      <c r="CC54" s="3794" t="str">
        <f>CD53&amp;"-"&amp;CF53</f>
        <v>-</v>
      </c>
      <c r="CD54" s="4726"/>
      <c r="CE54" s="4726"/>
      <c r="CF54" s="4726"/>
      <c r="CG54" s="4726"/>
      <c r="CH54" s="6293"/>
      <c r="CI54" s="6293"/>
      <c r="CJ54" s="6293"/>
      <c r="CK54" s="3794" t="str">
        <f>CL53&amp;"-"&amp;CN53</f>
        <v>-</v>
      </c>
      <c r="CL54" s="4726"/>
      <c r="CM54" s="4726"/>
      <c r="CN54" s="4726"/>
      <c r="CO54" s="6554"/>
      <c r="CP54" s="3790"/>
      <c r="CQ54" s="4074"/>
      <c r="CR54" s="3975"/>
      <c r="CS54" s="4068"/>
      <c r="CT54" s="4068" t="str">
        <f>IF(T54="","",T54)</f>
        <v/>
      </c>
      <c r="CU54" s="4068"/>
      <c r="CV54" s="4068"/>
      <c r="CW54" s="3779">
        <v>0</v>
      </c>
    </row>
    <row s="6516" customFormat="1" customHeight="1" ht="15">
      <c r="A55" s="4055"/>
      <c r="B55" s="4055"/>
      <c r="C55" s="4055"/>
      <c r="D55" s="4055"/>
      <c r="E55" s="4056"/>
      <c r="F55" s="4056"/>
      <c r="G55" s="4056"/>
      <c r="H55" s="4056"/>
      <c r="I55" s="4057"/>
      <c r="J55" s="4058" t="str">
        <f>I47&amp;".1"</f>
        <v>1.1.1.1.1.1</v>
      </c>
      <c r="K55" s="4055"/>
      <c r="L55" s="4059"/>
      <c r="M55" s="3966"/>
      <c r="N55" s="3966"/>
      <c r="O55" s="4060"/>
      <c r="P55" s="4061"/>
      <c r="Q55" s="4061"/>
      <c r="R55" s="4076"/>
      <c r="S55" s="4077"/>
      <c r="T55" s="4078" t="s">
        <v>420</v>
      </c>
      <c r="U55" s="4079"/>
      <c r="V55" s="4080"/>
      <c r="W55" s="4081"/>
      <c r="X55" s="4082"/>
      <c r="Y55" s="4083"/>
      <c r="Z55" s="4084"/>
      <c r="AA55" s="4085"/>
      <c r="AB55" s="4086"/>
      <c r="AC55" s="4087"/>
      <c r="AD55" s="4088"/>
      <c r="AE55" s="4089"/>
      <c r="AF55" s="4090"/>
      <c r="AG55" s="4091"/>
      <c r="AH55" s="4092"/>
      <c r="AI55" s="4093"/>
      <c r="AJ55" s="4094"/>
      <c r="AK55" s="4095"/>
      <c r="AL55" s="4096"/>
      <c r="AM55" s="4097"/>
      <c r="AN55" s="4098"/>
      <c r="AO55" s="4099"/>
      <c r="AP55" s="4100"/>
      <c r="AQ55" s="4101"/>
      <c r="AR55" s="4102"/>
      <c r="AS55" s="4103"/>
      <c r="AT55" s="4104"/>
      <c r="AU55" s="4105"/>
      <c r="AV55" s="4106"/>
      <c r="AW55" s="4107"/>
      <c r="AX55" s="4108"/>
      <c r="AY55" s="4109"/>
      <c r="AZ55" s="4110"/>
      <c r="BA55" s="4111"/>
      <c r="BB55" s="4112"/>
      <c r="BC55" s="4113"/>
      <c r="BD55" s="4114"/>
      <c r="BE55" s="4115"/>
      <c r="BF55" s="4116"/>
      <c r="BG55" s="4117"/>
      <c r="BH55" s="4118"/>
      <c r="BI55" s="4119"/>
      <c r="BJ55" s="4120"/>
      <c r="BK55" s="4121"/>
      <c r="BL55" s="4122"/>
      <c r="BM55" s="4123"/>
      <c r="BN55" s="4124"/>
      <c r="BO55" s="4125"/>
      <c r="BP55" s="4126"/>
      <c r="BQ55" s="4127"/>
      <c r="BR55" s="4128"/>
      <c r="BS55" s="4129"/>
      <c r="BT55" s="4130"/>
      <c r="BU55" s="4131"/>
      <c r="BV55" s="4132"/>
      <c r="BW55" s="4133"/>
      <c r="BX55" s="4134"/>
      <c r="BY55" s="4135"/>
      <c r="BZ55" s="4136"/>
      <c r="CA55" s="4137"/>
      <c r="CB55" s="4138"/>
      <c r="CC55" s="4139"/>
      <c r="CD55" s="4140"/>
      <c r="CE55" s="4141"/>
      <c r="CF55" s="4142"/>
      <c r="CG55" s="4143"/>
      <c r="CH55" s="4144"/>
      <c r="CI55" s="4145"/>
      <c r="CJ55" s="4146"/>
      <c r="CK55" s="4147"/>
      <c r="CL55" s="4148"/>
      <c r="CM55" s="4149"/>
      <c r="CN55" s="4150"/>
      <c r="CO55" s="6542"/>
      <c r="CP55" s="4152"/>
      <c r="CQ55" s="4153"/>
      <c r="CR55" s="3975"/>
      <c r="CS55" s="4068"/>
      <c r="CT55" s="4068" t="str">
        <f>IF(T55="","",T55)</f>
        <v>Добавить вид теплоносителя (параметры теплоносителя)</v>
      </c>
      <c r="CU55" s="4068"/>
      <c r="CV55" s="4068"/>
      <c r="CW55" s="3779">
        <v>0</v>
      </c>
    </row>
    <row s="6516" customFormat="1" customHeight="1" ht="21">
      <c r="A56" s="4055"/>
      <c r="B56" s="4055"/>
      <c r="C56" s="4055"/>
      <c r="D56" s="4055"/>
      <c r="E56" s="4056"/>
      <c r="F56" s="4056"/>
      <c r="G56" s="4056"/>
      <c r="H56" s="4056"/>
      <c r="I56" s="4057"/>
      <c r="J56" s="4058" t="str">
        <f>I47&amp;".3"</f>
        <v>1.1.1.1.1.3</v>
      </c>
      <c r="K56" s="4055"/>
      <c r="L56" s="4059" t="s">
        <v>415</v>
      </c>
      <c r="M56" s="3966"/>
      <c r="N56" s="3966"/>
      <c r="O56" s="4060"/>
      <c r="P56" s="4061"/>
      <c r="Q56" s="4062" t="s">
        <v>454</v>
      </c>
      <c r="R56" s="4063"/>
      <c r="S56" s="4064" t="str">
        <f>$J56</f>
        <v>1.1.1.1.1.3</v>
      </c>
      <c r="T56" s="4065" t="s">
        <v>416</v>
      </c>
      <c r="U56" s="4066"/>
      <c r="V56" s="3786"/>
      <c r="W56" s="3787"/>
      <c r="X56" s="3787"/>
      <c r="Y56" s="3787"/>
      <c r="Z56" s="3787"/>
      <c r="AA56" s="3787"/>
      <c r="AB56" s="3787"/>
      <c r="AC56" s="3788"/>
      <c r="AD56" s="3786" t="s">
        <v>459</v>
      </c>
      <c r="AE56" s="3787"/>
      <c r="AF56" s="3787"/>
      <c r="AG56" s="3787"/>
      <c r="AH56" s="3787"/>
      <c r="AI56" s="3787"/>
      <c r="AJ56" s="3787"/>
      <c r="AK56" s="3787"/>
      <c r="AL56" s="3786"/>
      <c r="AM56" s="3787"/>
      <c r="AN56" s="3787"/>
      <c r="AO56" s="3787"/>
      <c r="AP56" s="3787"/>
      <c r="AQ56" s="3787"/>
      <c r="AR56" s="3787"/>
      <c r="AS56" s="3788"/>
      <c r="AT56" s="3786"/>
      <c r="AU56" s="3787"/>
      <c r="AV56" s="3787"/>
      <c r="AW56" s="3787"/>
      <c r="AX56" s="3787"/>
      <c r="AY56" s="3787"/>
      <c r="AZ56" s="3787"/>
      <c r="BA56" s="3788"/>
      <c r="BB56" s="3786"/>
      <c r="BC56" s="3787"/>
      <c r="BD56" s="3787"/>
      <c r="BE56" s="3787"/>
      <c r="BF56" s="3787"/>
      <c r="BG56" s="3787"/>
      <c r="BH56" s="3787"/>
      <c r="BI56" s="3788"/>
      <c r="BJ56" s="3786"/>
      <c r="BK56" s="3787"/>
      <c r="BL56" s="3787"/>
      <c r="BM56" s="3787"/>
      <c r="BN56" s="3787"/>
      <c r="BO56" s="3787"/>
      <c r="BP56" s="3787"/>
      <c r="BQ56" s="3788"/>
      <c r="BR56" s="3786"/>
      <c r="BS56" s="3787"/>
      <c r="BT56" s="3787"/>
      <c r="BU56" s="3787"/>
      <c r="BV56" s="3787"/>
      <c r="BW56" s="3787"/>
      <c r="BX56" s="3787"/>
      <c r="BY56" s="3788"/>
      <c r="BZ56" s="3786"/>
      <c r="CA56" s="3787"/>
      <c r="CB56" s="3787"/>
      <c r="CC56" s="3787"/>
      <c r="CD56" s="3787"/>
      <c r="CE56" s="3787"/>
      <c r="CF56" s="3787"/>
      <c r="CG56" s="3788"/>
      <c r="CH56" s="3786"/>
      <c r="CI56" s="3787"/>
      <c r="CJ56" s="3787"/>
      <c r="CK56" s="3787"/>
      <c r="CL56" s="3787"/>
      <c r="CM56" s="3787"/>
      <c r="CN56" s="3787"/>
      <c r="CO56" s="6522"/>
      <c r="CP56" s="3788"/>
      <c r="CQ56" s="4067" t="s">
        <v>417</v>
      </c>
      <c r="CR56" s="3975"/>
      <c r="CS56" s="4068"/>
      <c r="CT56" s="4068" t="str">
        <f>IF(T56="","",T56)</f>
        <v>Группа потребителей</v>
      </c>
      <c r="CU56" s="4068"/>
      <c r="CV56" s="4068"/>
      <c r="CW56" s="3779">
        <v>0</v>
      </c>
    </row>
    <row s="6516" customFormat="1" customHeight="1" ht="21">
      <c r="A57" s="4055"/>
      <c r="B57" s="4055"/>
      <c r="C57" s="4055"/>
      <c r="D57" s="4055"/>
      <c r="E57" s="4056"/>
      <c r="F57" s="4056"/>
      <c r="G57" s="4056"/>
      <c r="H57" s="4056"/>
      <c r="I57" s="4057"/>
      <c r="J57" s="4057" t="str">
        <f>I47&amp;".2"</f>
        <v>1.1.1.1.1.2</v>
      </c>
      <c r="K57" s="4058" t="str">
        <f>J56&amp;".1"</f>
        <v>1.1.1.1.1.3.1</v>
      </c>
      <c r="L57" s="4059" t="s">
        <v>418</v>
      </c>
      <c r="M57" s="3966"/>
      <c r="N57" s="3966"/>
      <c r="O57" s="3966"/>
      <c r="P57" s="4061"/>
      <c r="Q57" s="4061"/>
      <c r="R57" s="4063">
        <v>1</v>
      </c>
      <c r="S57" s="4064" t="str">
        <f>$K57</f>
        <v>1.1.1.1.1.3.1</v>
      </c>
      <c r="T57" s="4070" t="s">
        <v>458</v>
      </c>
      <c r="U57" s="4066"/>
      <c r="V57" s="6293"/>
      <c r="W57" s="6293"/>
      <c r="X57" s="6293"/>
      <c r="Y57" s="4724"/>
      <c r="Z57" s="4725"/>
      <c r="AA57" s="4726" t="s">
        <v>64</v>
      </c>
      <c r="AB57" s="4725"/>
      <c r="AC57" s="4726" t="s">
        <v>64</v>
      </c>
      <c r="AD57" s="3789">
        <v>1688.12</v>
      </c>
      <c r="AE57" s="3790"/>
      <c r="AF57" s="3789"/>
      <c r="AG57" s="3791"/>
      <c r="AH57" s="6462">
        <v>46023.561319444445</v>
      </c>
      <c r="AI57" s="3121" t="s">
        <v>64</v>
      </c>
      <c r="AJ57" s="6462">
        <v>46295.56251157408</v>
      </c>
      <c r="AK57" s="3121" t="s">
        <v>64</v>
      </c>
      <c r="AL57" s="3789">
        <v>1873.81</v>
      </c>
      <c r="AM57" s="3790"/>
      <c r="AN57" s="3789"/>
      <c r="AO57" s="3791"/>
      <c r="AP57" s="6462">
        <v>46296.56329861111</v>
      </c>
      <c r="AQ57" s="3121" t="s">
        <v>64</v>
      </c>
      <c r="AR57" s="6462">
        <v>46387.56396990741</v>
      </c>
      <c r="AS57" s="3121" t="s">
        <v>64</v>
      </c>
      <c r="AT57" s="3789">
        <v>1873.82</v>
      </c>
      <c r="AU57" s="3790"/>
      <c r="AV57" s="3789"/>
      <c r="AW57" s="3791"/>
      <c r="AX57" s="6462">
        <v>46388</v>
      </c>
      <c r="AY57" s="3121" t="s">
        <v>64</v>
      </c>
      <c r="AZ57" s="6462">
        <v>46568</v>
      </c>
      <c r="BA57" s="3121" t="s">
        <v>64</v>
      </c>
      <c r="BB57" s="3789">
        <v>1831.15</v>
      </c>
      <c r="BC57" s="3790"/>
      <c r="BD57" s="3789"/>
      <c r="BE57" s="3791"/>
      <c r="BF57" s="6462">
        <v>46569.566087962965</v>
      </c>
      <c r="BG57" s="3121" t="s">
        <v>64</v>
      </c>
      <c r="BH57" s="6462">
        <v>46752.566782407404</v>
      </c>
      <c r="BI57" s="3121" t="s">
        <v>64</v>
      </c>
      <c r="BJ57" s="3789">
        <v>1831.15</v>
      </c>
      <c r="BK57" s="3790"/>
      <c r="BL57" s="3789"/>
      <c r="BM57" s="3791"/>
      <c r="BN57" s="6462">
        <v>46753</v>
      </c>
      <c r="BO57" s="3121" t="s">
        <v>64</v>
      </c>
      <c r="BP57" s="6462">
        <v>46934.568090277775</v>
      </c>
      <c r="BQ57" s="3121" t="s">
        <v>64</v>
      </c>
      <c r="BR57" s="3789">
        <v>1904.4</v>
      </c>
      <c r="BS57" s="3790"/>
      <c r="BT57" s="3789"/>
      <c r="BU57" s="3791"/>
      <c r="BV57" s="6462">
        <v>46935.569375</v>
      </c>
      <c r="BW57" s="3121" t="s">
        <v>64</v>
      </c>
      <c r="BX57" s="6462">
        <v>47118.569699074076</v>
      </c>
      <c r="BY57" s="3121" t="s">
        <v>19</v>
      </c>
      <c r="BZ57" s="6293"/>
      <c r="CA57" s="6293"/>
      <c r="CB57" s="6293"/>
      <c r="CC57" s="4724"/>
      <c r="CD57" s="4725"/>
      <c r="CE57" s="4726" t="s">
        <v>64</v>
      </c>
      <c r="CF57" s="4725"/>
      <c r="CG57" s="4726" t="s">
        <v>64</v>
      </c>
      <c r="CH57" s="6293"/>
      <c r="CI57" s="6293"/>
      <c r="CJ57" s="6293"/>
      <c r="CK57" s="4724"/>
      <c r="CL57" s="4725"/>
      <c r="CM57" s="4726" t="s">
        <v>64</v>
      </c>
      <c r="CN57" s="4725"/>
      <c r="CO57" s="6554" t="s">
        <v>64</v>
      </c>
      <c r="CP57" s="3790"/>
      <c r="CQ57" s="4071" t="s">
        <v>419</v>
      </c>
      <c r="CR57" s="3975">
        <f>STRCHECKDATE(V58:CP58)</f>
      </c>
      <c r="CS57" s="4068"/>
      <c r="CT57" s="4068" t="str">
        <f>IF(T57="","",T57)</f>
        <v>вода</v>
      </c>
      <c r="CU57" s="4068"/>
      <c r="CV57" s="4068"/>
      <c r="CW57" s="3779">
        <v>0</v>
      </c>
    </row>
    <row s="6516" customFormat="1" customHeight="1" ht="0.75">
      <c r="A58" s="4055"/>
      <c r="B58" s="4055"/>
      <c r="C58" s="4055"/>
      <c r="D58" s="4055"/>
      <c r="E58" s="4056"/>
      <c r="F58" s="4056"/>
      <c r="G58" s="4056"/>
      <c r="H58" s="4056"/>
      <c r="I58" s="4057"/>
      <c r="J58" s="4057" t="str">
        <f>I47&amp;".2"</f>
        <v>1.1.1.1.1.2</v>
      </c>
      <c r="K58" s="4058"/>
      <c r="L58" s="4059"/>
      <c r="M58" s="3966"/>
      <c r="N58" s="3966"/>
      <c r="O58" s="3966"/>
      <c r="P58" s="4061"/>
      <c r="Q58" s="4061"/>
      <c r="R58" s="4063"/>
      <c r="S58" s="4073"/>
      <c r="T58" s="4066"/>
      <c r="U58" s="4066"/>
      <c r="V58" s="6293"/>
      <c r="W58" s="6293"/>
      <c r="X58" s="6293"/>
      <c r="Y58" s="3794" t="str">
        <f>Z57&amp;"-"&amp;AB57</f>
        <v>-</v>
      </c>
      <c r="Z58" s="4726"/>
      <c r="AA58" s="4726"/>
      <c r="AB58" s="4726"/>
      <c r="AC58" s="4726"/>
      <c r="AD58" s="3790"/>
      <c r="AE58" s="3790"/>
      <c r="AF58" s="3790"/>
      <c r="AG58" s="3794" t="str">
        <f>AH57&amp;"-"&amp;AJ57</f>
        <v>46023.561319444445-46295.56251157408</v>
      </c>
      <c r="AH58" s="3795"/>
      <c r="AI58" s="3121"/>
      <c r="AJ58" s="3795"/>
      <c r="AK58" s="3121"/>
      <c r="AL58" s="3790"/>
      <c r="AM58" s="3790"/>
      <c r="AN58" s="3790"/>
      <c r="AO58" s="3794" t="str">
        <f>AP57&amp;"-"&amp;AR57</f>
        <v>46296.56329861111-46387.56396990741</v>
      </c>
      <c r="AP58" s="3795"/>
      <c r="AQ58" s="3121"/>
      <c r="AR58" s="3795"/>
      <c r="AS58" s="3121"/>
      <c r="AT58" s="3790"/>
      <c r="AU58" s="3790"/>
      <c r="AV58" s="3790"/>
      <c r="AW58" s="3794" t="str">
        <f>AX57&amp;"-"&amp;AZ57</f>
        <v>46388-46568</v>
      </c>
      <c r="AX58" s="3795"/>
      <c r="AY58" s="3121"/>
      <c r="AZ58" s="3795"/>
      <c r="BA58" s="3121"/>
      <c r="BB58" s="3790"/>
      <c r="BC58" s="3790"/>
      <c r="BD58" s="3790"/>
      <c r="BE58" s="3794" t="str">
        <f>BF57&amp;"-"&amp;BH57</f>
        <v>46569.566087962965-46752.566782407404</v>
      </c>
      <c r="BF58" s="3795"/>
      <c r="BG58" s="3121"/>
      <c r="BH58" s="3795"/>
      <c r="BI58" s="3121"/>
      <c r="BJ58" s="3790"/>
      <c r="BK58" s="3790"/>
      <c r="BL58" s="3790"/>
      <c r="BM58" s="3794" t="str">
        <f>BN57&amp;"-"&amp;BP57</f>
        <v>46753-46934.568090277775</v>
      </c>
      <c r="BN58" s="3795"/>
      <c r="BO58" s="3121"/>
      <c r="BP58" s="3795"/>
      <c r="BQ58" s="3121"/>
      <c r="BR58" s="3790"/>
      <c r="BS58" s="3790"/>
      <c r="BT58" s="3790"/>
      <c r="BU58" s="3794" t="str">
        <f>BV57&amp;"-"&amp;BX57</f>
        <v>46935.569375-47118.569699074076</v>
      </c>
      <c r="BV58" s="3795"/>
      <c r="BW58" s="3121"/>
      <c r="BX58" s="3795"/>
      <c r="BY58" s="3121"/>
      <c r="BZ58" s="6293"/>
      <c r="CA58" s="6293"/>
      <c r="CB58" s="6293"/>
      <c r="CC58" s="3794" t="str">
        <f>CD57&amp;"-"&amp;CF57</f>
        <v>-</v>
      </c>
      <c r="CD58" s="4726"/>
      <c r="CE58" s="4726"/>
      <c r="CF58" s="4726"/>
      <c r="CG58" s="4726"/>
      <c r="CH58" s="6293"/>
      <c r="CI58" s="6293"/>
      <c r="CJ58" s="6293"/>
      <c r="CK58" s="3794" t="str">
        <f>CL57&amp;"-"&amp;CN57</f>
        <v>-</v>
      </c>
      <c r="CL58" s="4726"/>
      <c r="CM58" s="4726"/>
      <c r="CN58" s="4726"/>
      <c r="CO58" s="6554"/>
      <c r="CP58" s="3790"/>
      <c r="CQ58" s="4074"/>
      <c r="CR58" s="3975"/>
      <c r="CS58" s="4068"/>
      <c r="CT58" s="4068" t="str">
        <f>IF(T58="","",T58)</f>
        <v/>
      </c>
      <c r="CU58" s="4068"/>
      <c r="CV58" s="4068"/>
      <c r="CW58" s="3779">
        <v>0</v>
      </c>
    </row>
    <row s="6516" customFormat="1" customHeight="1" ht="15">
      <c r="A59" s="4055"/>
      <c r="B59" s="4055"/>
      <c r="C59" s="4055"/>
      <c r="D59" s="4055"/>
      <c r="E59" s="4056"/>
      <c r="F59" s="4056"/>
      <c r="G59" s="4056"/>
      <c r="H59" s="4056"/>
      <c r="I59" s="4057"/>
      <c r="J59" s="4058" t="str">
        <f>I47&amp;".2"</f>
        <v>1.1.1.1.1.2</v>
      </c>
      <c r="K59" s="4055"/>
      <c r="L59" s="4059"/>
      <c r="M59" s="3966"/>
      <c r="N59" s="3966"/>
      <c r="O59" s="4060"/>
      <c r="P59" s="4061"/>
      <c r="Q59" s="4061"/>
      <c r="R59" s="4076"/>
      <c r="S59" s="4158"/>
      <c r="T59" s="4159" t="s">
        <v>420</v>
      </c>
      <c r="U59" s="4160"/>
      <c r="V59" s="4161"/>
      <c r="W59" s="4162"/>
      <c r="X59" s="4163"/>
      <c r="Y59" s="4164"/>
      <c r="Z59" s="4165"/>
      <c r="AA59" s="4166"/>
      <c r="AB59" s="4167"/>
      <c r="AC59" s="4168"/>
      <c r="AD59" s="4169"/>
      <c r="AE59" s="4170"/>
      <c r="AF59" s="4171"/>
      <c r="AG59" s="4172"/>
      <c r="AH59" s="4173"/>
      <c r="AI59" s="4174"/>
      <c r="AJ59" s="4175"/>
      <c r="AK59" s="4176"/>
      <c r="AL59" s="4177"/>
      <c r="AM59" s="4178"/>
      <c r="AN59" s="4179"/>
      <c r="AO59" s="4180"/>
      <c r="AP59" s="4181"/>
      <c r="AQ59" s="4182"/>
      <c r="AR59" s="4183"/>
      <c r="AS59" s="4184"/>
      <c r="AT59" s="4185"/>
      <c r="AU59" s="4186"/>
      <c r="AV59" s="4187"/>
      <c r="AW59" s="4188"/>
      <c r="AX59" s="4189"/>
      <c r="AY59" s="4190"/>
      <c r="AZ59" s="4191"/>
      <c r="BA59" s="4192"/>
      <c r="BB59" s="4193"/>
      <c r="BC59" s="4194"/>
      <c r="BD59" s="4195"/>
      <c r="BE59" s="4196"/>
      <c r="BF59" s="4197"/>
      <c r="BG59" s="4198"/>
      <c r="BH59" s="4199"/>
      <c r="BI59" s="4200"/>
      <c r="BJ59" s="4201"/>
      <c r="BK59" s="4202"/>
      <c r="BL59" s="4203"/>
      <c r="BM59" s="4204"/>
      <c r="BN59" s="4205"/>
      <c r="BO59" s="4206"/>
      <c r="BP59" s="4207"/>
      <c r="BQ59" s="4208"/>
      <c r="BR59" s="4209"/>
      <c r="BS59" s="4210"/>
      <c r="BT59" s="4211"/>
      <c r="BU59" s="4212"/>
      <c r="BV59" s="4213"/>
      <c r="BW59" s="4214"/>
      <c r="BX59" s="4215"/>
      <c r="BY59" s="4216"/>
      <c r="BZ59" s="4217"/>
      <c r="CA59" s="4218"/>
      <c r="CB59" s="4219"/>
      <c r="CC59" s="4220"/>
      <c r="CD59" s="4221"/>
      <c r="CE59" s="4222"/>
      <c r="CF59" s="4223"/>
      <c r="CG59" s="4224"/>
      <c r="CH59" s="4225"/>
      <c r="CI59" s="4226"/>
      <c r="CJ59" s="4227"/>
      <c r="CK59" s="4228"/>
      <c r="CL59" s="4229"/>
      <c r="CM59" s="4230"/>
      <c r="CN59" s="4231"/>
      <c r="CO59" s="6543"/>
      <c r="CP59" s="4233"/>
      <c r="CQ59" s="4153"/>
      <c r="CR59" s="3975"/>
      <c r="CS59" s="4068"/>
      <c r="CT59" s="4068" t="str">
        <f>IF(T59="","",T59)</f>
        <v>Добавить вид теплоносителя (параметры теплоносителя)</v>
      </c>
      <c r="CU59" s="4068"/>
      <c r="CV59" s="4068"/>
      <c r="CW59" s="3779">
        <v>0</v>
      </c>
    </row>
    <row s="6516" customFormat="1" customHeight="1" ht="21">
      <c r="A60" s="4055"/>
      <c r="B60" s="4055"/>
      <c r="C60" s="4055"/>
      <c r="D60" s="4055"/>
      <c r="E60" s="4056"/>
      <c r="F60" s="4056"/>
      <c r="G60" s="4056"/>
      <c r="H60" s="4056"/>
      <c r="I60" s="4057"/>
      <c r="J60" s="4058" t="str">
        <f>I47&amp;".4"</f>
        <v>1.1.1.1.1.4</v>
      </c>
      <c r="K60" s="4055"/>
      <c r="L60" s="4059" t="s">
        <v>415</v>
      </c>
      <c r="M60" s="3966"/>
      <c r="N60" s="3966"/>
      <c r="O60" s="4060"/>
      <c r="P60" s="4061"/>
      <c r="Q60" s="4062" t="s">
        <v>454</v>
      </c>
      <c r="R60" s="4063"/>
      <c r="S60" s="4064" t="str">
        <f>$J60</f>
        <v>1.1.1.1.1.4</v>
      </c>
      <c r="T60" s="4065" t="s">
        <v>416</v>
      </c>
      <c r="U60" s="4066"/>
      <c r="V60" s="3786"/>
      <c r="W60" s="3787"/>
      <c r="X60" s="3787"/>
      <c r="Y60" s="3787"/>
      <c r="Z60" s="3787"/>
      <c r="AA60" s="3787"/>
      <c r="AB60" s="3787"/>
      <c r="AC60" s="3788"/>
      <c r="AD60" s="3786" t="s">
        <v>459</v>
      </c>
      <c r="AE60" s="3787"/>
      <c r="AF60" s="3787"/>
      <c r="AG60" s="3787"/>
      <c r="AH60" s="3787"/>
      <c r="AI60" s="3787"/>
      <c r="AJ60" s="3787"/>
      <c r="AK60" s="3787"/>
      <c r="AL60" s="3786"/>
      <c r="AM60" s="3787"/>
      <c r="AN60" s="3787"/>
      <c r="AO60" s="3787"/>
      <c r="AP60" s="3787"/>
      <c r="AQ60" s="3787"/>
      <c r="AR60" s="3787"/>
      <c r="AS60" s="3788"/>
      <c r="AT60" s="3786"/>
      <c r="AU60" s="3787"/>
      <c r="AV60" s="3787"/>
      <c r="AW60" s="3787"/>
      <c r="AX60" s="3787"/>
      <c r="AY60" s="3787"/>
      <c r="AZ60" s="3787"/>
      <c r="BA60" s="3788"/>
      <c r="BB60" s="3786"/>
      <c r="BC60" s="3787"/>
      <c r="BD60" s="3787"/>
      <c r="BE60" s="3787"/>
      <c r="BF60" s="3787"/>
      <c r="BG60" s="3787"/>
      <c r="BH60" s="3787"/>
      <c r="BI60" s="3788"/>
      <c r="BJ60" s="3786"/>
      <c r="BK60" s="3787"/>
      <c r="BL60" s="3787"/>
      <c r="BM60" s="3787"/>
      <c r="BN60" s="3787"/>
      <c r="BO60" s="3787"/>
      <c r="BP60" s="3787"/>
      <c r="BQ60" s="3788"/>
      <c r="BR60" s="3786"/>
      <c r="BS60" s="3787"/>
      <c r="BT60" s="3787"/>
      <c r="BU60" s="3787"/>
      <c r="BV60" s="3787"/>
      <c r="BW60" s="3787"/>
      <c r="BX60" s="3787"/>
      <c r="BY60" s="3788"/>
      <c r="BZ60" s="3786"/>
      <c r="CA60" s="3787"/>
      <c r="CB60" s="3787"/>
      <c r="CC60" s="3787"/>
      <c r="CD60" s="3787"/>
      <c r="CE60" s="3787"/>
      <c r="CF60" s="3787"/>
      <c r="CG60" s="3788"/>
      <c r="CH60" s="3786"/>
      <c r="CI60" s="3787"/>
      <c r="CJ60" s="3787"/>
      <c r="CK60" s="3787"/>
      <c r="CL60" s="3787"/>
      <c r="CM60" s="3787"/>
      <c r="CN60" s="3787"/>
      <c r="CO60" s="6522"/>
      <c r="CP60" s="3788"/>
      <c r="CQ60" s="4067" t="s">
        <v>417</v>
      </c>
      <c r="CR60" s="3975"/>
      <c r="CS60" s="4068"/>
      <c r="CT60" s="4068" t="str">
        <f>IF(T60="","",T60)</f>
        <v>Группа потребителей</v>
      </c>
      <c r="CU60" s="4068"/>
      <c r="CV60" s="4068"/>
      <c r="CW60" s="3779">
        <v>0</v>
      </c>
    </row>
    <row s="6516" customFormat="1" customHeight="1" ht="21">
      <c r="A61" s="4055"/>
      <c r="B61" s="4055"/>
      <c r="C61" s="4055"/>
      <c r="D61" s="4055"/>
      <c r="E61" s="4056"/>
      <c r="F61" s="4056"/>
      <c r="G61" s="4056"/>
      <c r="H61" s="4056"/>
      <c r="I61" s="4057"/>
      <c r="J61" s="4057" t="str">
        <f>I47&amp;".3"</f>
        <v>1.1.1.1.1.3</v>
      </c>
      <c r="K61" s="4058" t="str">
        <f>J60&amp;".1"</f>
        <v>1.1.1.1.1.4.1</v>
      </c>
      <c r="L61" s="4059" t="s">
        <v>418</v>
      </c>
      <c r="M61" s="3966"/>
      <c r="N61" s="3966"/>
      <c r="O61" s="3966"/>
      <c r="P61" s="4061"/>
      <c r="Q61" s="4061"/>
      <c r="R61" s="4063">
        <v>1</v>
      </c>
      <c r="S61" s="4064" t="str">
        <f>$K61</f>
        <v>1.1.1.1.1.4.1</v>
      </c>
      <c r="T61" s="4070" t="s">
        <v>458</v>
      </c>
      <c r="U61" s="4066"/>
      <c r="V61" s="6293"/>
      <c r="W61" s="6293"/>
      <c r="X61" s="6293"/>
      <c r="Y61" s="4724"/>
      <c r="Z61" s="4725"/>
      <c r="AA61" s="4726" t="s">
        <v>64</v>
      </c>
      <c r="AB61" s="4725"/>
      <c r="AC61" s="4726" t="s">
        <v>64</v>
      </c>
      <c r="AD61" s="3789">
        <v>1828.8</v>
      </c>
      <c r="AE61" s="3790"/>
      <c r="AF61" s="3789"/>
      <c r="AG61" s="3791"/>
      <c r="AH61" s="6462">
        <v>46023.56181712963</v>
      </c>
      <c r="AI61" s="3121" t="s">
        <v>64</v>
      </c>
      <c r="AJ61" s="6462">
        <v>46295.56260416667</v>
      </c>
      <c r="AK61" s="3121" t="s">
        <v>64</v>
      </c>
      <c r="AL61" s="3789">
        <v>2029.97</v>
      </c>
      <c r="AM61" s="3790"/>
      <c r="AN61" s="3789"/>
      <c r="AO61" s="3791"/>
      <c r="AP61" s="6462">
        <v>46296.56337962963</v>
      </c>
      <c r="AQ61" s="3121" t="s">
        <v>64</v>
      </c>
      <c r="AR61" s="6462">
        <v>46387.564039351855</v>
      </c>
      <c r="AS61" s="3121" t="s">
        <v>64</v>
      </c>
      <c r="AT61" s="3789">
        <v>2029.97</v>
      </c>
      <c r="AU61" s="3790"/>
      <c r="AV61" s="3789"/>
      <c r="AW61" s="3791"/>
      <c r="AX61" s="6462">
        <v>46388.56476851852</v>
      </c>
      <c r="AY61" s="3121" t="s">
        <v>64</v>
      </c>
      <c r="AZ61" s="6462">
        <v>46568.56543981482</v>
      </c>
      <c r="BA61" s="3121" t="s">
        <v>64</v>
      </c>
      <c r="BB61" s="3789">
        <v>1983.75</v>
      </c>
      <c r="BC61" s="3790"/>
      <c r="BD61" s="3789"/>
      <c r="BE61" s="3791"/>
      <c r="BF61" s="6462">
        <v>46569.566157407404</v>
      </c>
      <c r="BG61" s="3121" t="s">
        <v>64</v>
      </c>
      <c r="BH61" s="6462">
        <v>46752.56688657407</v>
      </c>
      <c r="BI61" s="3121" t="s">
        <v>64</v>
      </c>
      <c r="BJ61" s="3789">
        <f>BB61</f>
        <v>1983.75</v>
      </c>
      <c r="BK61" s="3790"/>
      <c r="BL61" s="3789"/>
      <c r="BM61" s="3791"/>
      <c r="BN61" s="6462">
        <v>46753</v>
      </c>
      <c r="BO61" s="3121" t="s">
        <v>64</v>
      </c>
      <c r="BP61" s="6462">
        <v>46934.568194444444</v>
      </c>
      <c r="BQ61" s="3121" t="s">
        <v>64</v>
      </c>
      <c r="BR61" s="3789">
        <v>2063.1</v>
      </c>
      <c r="BS61" s="3790"/>
      <c r="BT61" s="3789"/>
      <c r="BU61" s="3791"/>
      <c r="BV61" s="6462">
        <v>46935.56863425926</v>
      </c>
      <c r="BW61" s="3121" t="s">
        <v>64</v>
      </c>
      <c r="BX61" s="6462">
        <v>47118.569814814815</v>
      </c>
      <c r="BY61" s="3121" t="s">
        <v>19</v>
      </c>
      <c r="BZ61" s="6293"/>
      <c r="CA61" s="6293"/>
      <c r="CB61" s="6293"/>
      <c r="CC61" s="4724"/>
      <c r="CD61" s="4725"/>
      <c r="CE61" s="4726" t="s">
        <v>64</v>
      </c>
      <c r="CF61" s="4725"/>
      <c r="CG61" s="4726" t="s">
        <v>64</v>
      </c>
      <c r="CH61" s="6293"/>
      <c r="CI61" s="6293"/>
      <c r="CJ61" s="6293"/>
      <c r="CK61" s="4724"/>
      <c r="CL61" s="4725"/>
      <c r="CM61" s="4726" t="s">
        <v>64</v>
      </c>
      <c r="CN61" s="4725"/>
      <c r="CO61" s="6554" t="s">
        <v>64</v>
      </c>
      <c r="CP61" s="3790"/>
      <c r="CQ61" s="4071" t="s">
        <v>419</v>
      </c>
      <c r="CR61" s="3975">
        <f>STRCHECKDATE(V62:CP62)</f>
      </c>
      <c r="CS61" s="4068"/>
      <c r="CT61" s="4068" t="str">
        <f>IF(T61="","",T61)</f>
        <v>вода</v>
      </c>
      <c r="CU61" s="4068"/>
      <c r="CV61" s="4068"/>
      <c r="CW61" s="3779">
        <v>0</v>
      </c>
    </row>
    <row s="6516" customFormat="1" customHeight="1" ht="0.75">
      <c r="A62" s="4055"/>
      <c r="B62" s="4055"/>
      <c r="C62" s="4055"/>
      <c r="D62" s="4055"/>
      <c r="E62" s="4056"/>
      <c r="F62" s="4056"/>
      <c r="G62" s="4056"/>
      <c r="H62" s="4056"/>
      <c r="I62" s="4057"/>
      <c r="J62" s="4057" t="str">
        <f>I47&amp;".3"</f>
        <v>1.1.1.1.1.3</v>
      </c>
      <c r="K62" s="4058"/>
      <c r="L62" s="4059"/>
      <c r="M62" s="3966"/>
      <c r="N62" s="3966"/>
      <c r="O62" s="3966"/>
      <c r="P62" s="4061"/>
      <c r="Q62" s="4061"/>
      <c r="R62" s="4063"/>
      <c r="S62" s="4073"/>
      <c r="T62" s="4066"/>
      <c r="U62" s="4066"/>
      <c r="V62" s="6293"/>
      <c r="W62" s="6293"/>
      <c r="X62" s="6293"/>
      <c r="Y62" s="3794" t="str">
        <f>Z61&amp;"-"&amp;AB61</f>
        <v>-</v>
      </c>
      <c r="Z62" s="4726"/>
      <c r="AA62" s="4726"/>
      <c r="AB62" s="4726"/>
      <c r="AC62" s="4726"/>
      <c r="AD62" s="3790"/>
      <c r="AE62" s="3790"/>
      <c r="AF62" s="3790"/>
      <c r="AG62" s="3794" t="str">
        <f>AH61&amp;"-"&amp;AJ61</f>
        <v>46023.56181712963-46295.56260416667</v>
      </c>
      <c r="AH62" s="3795"/>
      <c r="AI62" s="3121"/>
      <c r="AJ62" s="3795"/>
      <c r="AK62" s="3121"/>
      <c r="AL62" s="3790"/>
      <c r="AM62" s="3790"/>
      <c r="AN62" s="3790"/>
      <c r="AO62" s="3794" t="str">
        <f>AP61&amp;"-"&amp;AR61</f>
        <v>46296.56337962963-46387.564039351855</v>
      </c>
      <c r="AP62" s="3795"/>
      <c r="AQ62" s="3121"/>
      <c r="AR62" s="3795"/>
      <c r="AS62" s="3121"/>
      <c r="AT62" s="3790"/>
      <c r="AU62" s="3790"/>
      <c r="AV62" s="3790"/>
      <c r="AW62" s="3794" t="str">
        <f>AX61&amp;"-"&amp;AZ61</f>
        <v>46388.56476851852-46568.56543981482</v>
      </c>
      <c r="AX62" s="3795"/>
      <c r="AY62" s="3121"/>
      <c r="AZ62" s="3795"/>
      <c r="BA62" s="3121"/>
      <c r="BB62" s="3790"/>
      <c r="BC62" s="3790"/>
      <c r="BD62" s="3790"/>
      <c r="BE62" s="3794" t="str">
        <f>BF61&amp;"-"&amp;BH61</f>
        <v>46569.566157407404-46752.56688657407</v>
      </c>
      <c r="BF62" s="3795"/>
      <c r="BG62" s="3121"/>
      <c r="BH62" s="3795"/>
      <c r="BI62" s="3121"/>
      <c r="BJ62" s="3790"/>
      <c r="BK62" s="3790"/>
      <c r="BL62" s="3790"/>
      <c r="BM62" s="3794" t="str">
        <f>BN61&amp;"-"&amp;BP61</f>
        <v>46753-46934.568194444444</v>
      </c>
      <c r="BN62" s="3795"/>
      <c r="BO62" s="3121"/>
      <c r="BP62" s="3795"/>
      <c r="BQ62" s="3121"/>
      <c r="BR62" s="3790"/>
      <c r="BS62" s="3790"/>
      <c r="BT62" s="3790"/>
      <c r="BU62" s="3794" t="str">
        <f>BV61&amp;"-"&amp;BX61</f>
        <v>46935.56863425926-47118.569814814815</v>
      </c>
      <c r="BV62" s="3795"/>
      <c r="BW62" s="3121"/>
      <c r="BX62" s="3795"/>
      <c r="BY62" s="3121"/>
      <c r="BZ62" s="6293"/>
      <c r="CA62" s="6293"/>
      <c r="CB62" s="6293"/>
      <c r="CC62" s="3794" t="str">
        <f>CD61&amp;"-"&amp;CF61</f>
        <v>-</v>
      </c>
      <c r="CD62" s="4726"/>
      <c r="CE62" s="4726"/>
      <c r="CF62" s="4726"/>
      <c r="CG62" s="4726"/>
      <c r="CH62" s="6293"/>
      <c r="CI62" s="6293"/>
      <c r="CJ62" s="6293"/>
      <c r="CK62" s="3794" t="str">
        <f>CL61&amp;"-"&amp;CN61</f>
        <v>-</v>
      </c>
      <c r="CL62" s="4726"/>
      <c r="CM62" s="4726"/>
      <c r="CN62" s="4726"/>
      <c r="CO62" s="6554"/>
      <c r="CP62" s="3790"/>
      <c r="CQ62" s="4074"/>
      <c r="CR62" s="3975"/>
      <c r="CS62" s="4068"/>
      <c r="CT62" s="4068" t="str">
        <f>IF(T62="","",T62)</f>
        <v/>
      </c>
      <c r="CU62" s="4068"/>
      <c r="CV62" s="4068"/>
      <c r="CW62" s="3779">
        <v>0</v>
      </c>
    </row>
    <row s="6516" customFormat="1" customHeight="1" ht="15">
      <c r="A63" s="4055"/>
      <c r="B63" s="4055"/>
      <c r="C63" s="4055"/>
      <c r="D63" s="4055"/>
      <c r="E63" s="4056"/>
      <c r="F63" s="4056"/>
      <c r="G63" s="4056"/>
      <c r="H63" s="4056"/>
      <c r="I63" s="4057"/>
      <c r="J63" s="4058" t="str">
        <f>I47&amp;".3"</f>
        <v>1.1.1.1.1.3</v>
      </c>
      <c r="K63" s="4055"/>
      <c r="L63" s="4059"/>
      <c r="M63" s="3966"/>
      <c r="N63" s="3966"/>
      <c r="O63" s="4060"/>
      <c r="P63" s="4061"/>
      <c r="Q63" s="4061"/>
      <c r="R63" s="4076"/>
      <c r="S63" s="4238"/>
      <c r="T63" s="4239" t="s">
        <v>420</v>
      </c>
      <c r="U63" s="4240"/>
      <c r="V63" s="4241"/>
      <c r="W63" s="4242"/>
      <c r="X63" s="4243"/>
      <c r="Y63" s="4244"/>
      <c r="Z63" s="4245"/>
      <c r="AA63" s="4246"/>
      <c r="AB63" s="4247"/>
      <c r="AC63" s="4248"/>
      <c r="AD63" s="4249"/>
      <c r="AE63" s="4250"/>
      <c r="AF63" s="4251"/>
      <c r="AG63" s="4252"/>
      <c r="AH63" s="4253"/>
      <c r="AI63" s="4254"/>
      <c r="AJ63" s="4255"/>
      <c r="AK63" s="4256"/>
      <c r="AL63" s="4257"/>
      <c r="AM63" s="4258"/>
      <c r="AN63" s="4259"/>
      <c r="AO63" s="4260"/>
      <c r="AP63" s="4261"/>
      <c r="AQ63" s="4262"/>
      <c r="AR63" s="4263"/>
      <c r="AS63" s="4264"/>
      <c r="AT63" s="4265"/>
      <c r="AU63" s="4266"/>
      <c r="AV63" s="4267"/>
      <c r="AW63" s="4268"/>
      <c r="AX63" s="4269"/>
      <c r="AY63" s="4270"/>
      <c r="AZ63" s="4271"/>
      <c r="BA63" s="4272"/>
      <c r="BB63" s="4273"/>
      <c r="BC63" s="4274"/>
      <c r="BD63" s="4275"/>
      <c r="BE63" s="4276"/>
      <c r="BF63" s="4277"/>
      <c r="BG63" s="4278"/>
      <c r="BH63" s="4279"/>
      <c r="BI63" s="4280"/>
      <c r="BJ63" s="4281"/>
      <c r="BK63" s="4282"/>
      <c r="BL63" s="4283"/>
      <c r="BM63" s="4284"/>
      <c r="BN63" s="4285"/>
      <c r="BO63" s="4286"/>
      <c r="BP63" s="4287"/>
      <c r="BQ63" s="4288"/>
      <c r="BR63" s="4289"/>
      <c r="BS63" s="4290"/>
      <c r="BT63" s="4291"/>
      <c r="BU63" s="4292"/>
      <c r="BV63" s="4293"/>
      <c r="BW63" s="4294"/>
      <c r="BX63" s="4295"/>
      <c r="BY63" s="4296"/>
      <c r="BZ63" s="4297"/>
      <c r="CA63" s="4298"/>
      <c r="CB63" s="4299"/>
      <c r="CC63" s="4300"/>
      <c r="CD63" s="4301"/>
      <c r="CE63" s="4302"/>
      <c r="CF63" s="4303"/>
      <c r="CG63" s="4304"/>
      <c r="CH63" s="4305"/>
      <c r="CI63" s="4306"/>
      <c r="CJ63" s="4307"/>
      <c r="CK63" s="4308"/>
      <c r="CL63" s="4309"/>
      <c r="CM63" s="4310"/>
      <c r="CN63" s="4311"/>
      <c r="CO63" s="6544"/>
      <c r="CP63" s="4313"/>
      <c r="CQ63" s="4153"/>
      <c r="CR63" s="3975"/>
      <c r="CS63" s="4068"/>
      <c r="CT63" s="4068" t="str">
        <f>IF(T63="","",T63)</f>
        <v>Добавить вид теплоносителя (параметры теплоносителя)</v>
      </c>
      <c r="CU63" s="4068"/>
      <c r="CV63" s="4068"/>
      <c r="CW63" s="3779">
        <v>0</v>
      </c>
    </row>
    <row s="6516" customFormat="1" customHeight="1" ht="21">
      <c r="A64" s="4055"/>
      <c r="B64" s="4055"/>
      <c r="C64" s="4055"/>
      <c r="D64" s="4055"/>
      <c r="E64" s="4056"/>
      <c r="F64" s="4056"/>
      <c r="G64" s="4056"/>
      <c r="H64" s="4056"/>
      <c r="I64" s="4057"/>
      <c r="J64" s="4058" t="str">
        <f>I47&amp;".5"</f>
        <v>1.1.1.1.1.5</v>
      </c>
      <c r="K64" s="4055"/>
      <c r="L64" s="4059" t="s">
        <v>415</v>
      </c>
      <c r="M64" s="3966"/>
      <c r="N64" s="3966"/>
      <c r="O64" s="4060"/>
      <c r="P64" s="4061"/>
      <c r="Q64" s="4062" t="s">
        <v>454</v>
      </c>
      <c r="R64" s="4063"/>
      <c r="S64" s="4064" t="str">
        <f>$J64</f>
        <v>1.1.1.1.1.5</v>
      </c>
      <c r="T64" s="4065" t="s">
        <v>416</v>
      </c>
      <c r="U64" s="4066"/>
      <c r="V64" s="3786"/>
      <c r="W64" s="3787"/>
      <c r="X64" s="3787"/>
      <c r="Y64" s="3787"/>
      <c r="Z64" s="3787"/>
      <c r="AA64" s="3787"/>
      <c r="AB64" s="3787"/>
      <c r="AC64" s="3788"/>
      <c r="AD64" s="3786" t="s">
        <v>459</v>
      </c>
      <c r="AE64" s="3787"/>
      <c r="AF64" s="3787"/>
      <c r="AG64" s="3787"/>
      <c r="AH64" s="3787"/>
      <c r="AI64" s="3787"/>
      <c r="AJ64" s="3787"/>
      <c r="AK64" s="3787"/>
      <c r="AL64" s="3786"/>
      <c r="AM64" s="3787"/>
      <c r="AN64" s="3787"/>
      <c r="AO64" s="3787"/>
      <c r="AP64" s="3787"/>
      <c r="AQ64" s="3787"/>
      <c r="AR64" s="3787"/>
      <c r="AS64" s="3788"/>
      <c r="AT64" s="3786"/>
      <c r="AU64" s="3787"/>
      <c r="AV64" s="3787"/>
      <c r="AW64" s="3787"/>
      <c r="AX64" s="3787"/>
      <c r="AY64" s="3787"/>
      <c r="AZ64" s="3787"/>
      <c r="BA64" s="3788"/>
      <c r="BB64" s="3786"/>
      <c r="BC64" s="3787"/>
      <c r="BD64" s="3787"/>
      <c r="BE64" s="3787"/>
      <c r="BF64" s="3787"/>
      <c r="BG64" s="3787"/>
      <c r="BH64" s="3787"/>
      <c r="BI64" s="3788"/>
      <c r="BJ64" s="3786"/>
      <c r="BK64" s="3787"/>
      <c r="BL64" s="3787"/>
      <c r="BM64" s="3787"/>
      <c r="BN64" s="3787"/>
      <c r="BO64" s="3787"/>
      <c r="BP64" s="3787"/>
      <c r="BQ64" s="3788"/>
      <c r="BR64" s="3786"/>
      <c r="BS64" s="3787"/>
      <c r="BT64" s="3787"/>
      <c r="BU64" s="3787"/>
      <c r="BV64" s="3787"/>
      <c r="BW64" s="3787"/>
      <c r="BX64" s="3787"/>
      <c r="BY64" s="3788"/>
      <c r="BZ64" s="3786"/>
      <c r="CA64" s="3787"/>
      <c r="CB64" s="3787"/>
      <c r="CC64" s="3787"/>
      <c r="CD64" s="3787"/>
      <c r="CE64" s="3787"/>
      <c r="CF64" s="3787"/>
      <c r="CG64" s="3788"/>
      <c r="CH64" s="3786"/>
      <c r="CI64" s="3787"/>
      <c r="CJ64" s="3787"/>
      <c r="CK64" s="3787"/>
      <c r="CL64" s="3787"/>
      <c r="CM64" s="3787"/>
      <c r="CN64" s="3787"/>
      <c r="CO64" s="6522"/>
      <c r="CP64" s="3788"/>
      <c r="CQ64" s="4067" t="s">
        <v>417</v>
      </c>
      <c r="CR64" s="3975"/>
      <c r="CS64" s="4068"/>
      <c r="CT64" s="4068" t="str">
        <f>IF(T64="","",T64)</f>
        <v>Группа потребителей</v>
      </c>
      <c r="CU64" s="4068"/>
      <c r="CV64" s="4068"/>
      <c r="CW64" s="3779">
        <v>0</v>
      </c>
    </row>
    <row s="6516" customFormat="1" customHeight="1" ht="21">
      <c r="A65" s="4055"/>
      <c r="B65" s="4055"/>
      <c r="C65" s="4055"/>
      <c r="D65" s="4055"/>
      <c r="E65" s="4056"/>
      <c r="F65" s="4056"/>
      <c r="G65" s="4056"/>
      <c r="H65" s="4056"/>
      <c r="I65" s="4057"/>
      <c r="J65" s="4057" t="str">
        <f>I47&amp;".4"</f>
        <v>1.1.1.1.1.4</v>
      </c>
      <c r="K65" s="4058" t="str">
        <f>J64&amp;".1"</f>
        <v>1.1.1.1.1.5.1</v>
      </c>
      <c r="L65" s="4059" t="s">
        <v>418</v>
      </c>
      <c r="M65" s="3966"/>
      <c r="N65" s="3966"/>
      <c r="O65" s="3966"/>
      <c r="P65" s="4061"/>
      <c r="Q65" s="4061"/>
      <c r="R65" s="4063">
        <v>1</v>
      </c>
      <c r="S65" s="4064" t="str">
        <f>$K65</f>
        <v>1.1.1.1.1.5.1</v>
      </c>
      <c r="T65" s="4070" t="s">
        <v>458</v>
      </c>
      <c r="U65" s="4066"/>
      <c r="V65" s="6293"/>
      <c r="W65" s="6293"/>
      <c r="X65" s="6293"/>
      <c r="Y65" s="4724"/>
      <c r="Z65" s="4725"/>
      <c r="AA65" s="4726" t="s">
        <v>64</v>
      </c>
      <c r="AB65" s="4725"/>
      <c r="AC65" s="4726" t="s">
        <v>64</v>
      </c>
      <c r="AD65" s="3789">
        <v>2886.34</v>
      </c>
      <c r="AE65" s="3790"/>
      <c r="AF65" s="3789"/>
      <c r="AG65" s="3791"/>
      <c r="AH65" s="6462">
        <v>46023.561875</v>
      </c>
      <c r="AI65" s="3121" t="s">
        <v>64</v>
      </c>
      <c r="AJ65" s="6462">
        <v>46295.56267361111</v>
      </c>
      <c r="AK65" s="3121" t="s">
        <v>64</v>
      </c>
      <c r="AL65" s="3789">
        <v>3232.7</v>
      </c>
      <c r="AM65" s="3790"/>
      <c r="AN65" s="3789"/>
      <c r="AO65" s="3791"/>
      <c r="AP65" s="6462">
        <v>46296.563472222224</v>
      </c>
      <c r="AQ65" s="3121" t="s">
        <v>64</v>
      </c>
      <c r="AR65" s="6462">
        <v>46387.564155092594</v>
      </c>
      <c r="AS65" s="3121" t="s">
        <v>64</v>
      </c>
      <c r="AT65" s="3789">
        <v>3232.7</v>
      </c>
      <c r="AU65" s="3790"/>
      <c r="AV65" s="3789"/>
      <c r="AW65" s="3791"/>
      <c r="AX65" s="6462">
        <v>46388.56484953704</v>
      </c>
      <c r="AY65" s="3121" t="s">
        <v>64</v>
      </c>
      <c r="AZ65" s="6462">
        <v>46568.56553240741</v>
      </c>
      <c r="BA65" s="3121" t="s">
        <v>64</v>
      </c>
      <c r="BB65" s="3789">
        <v>2903.2</v>
      </c>
      <c r="BC65" s="3790"/>
      <c r="BD65" s="3789"/>
      <c r="BE65" s="3791"/>
      <c r="BF65" s="6462">
        <v>46569.56625</v>
      </c>
      <c r="BG65" s="3121" t="s">
        <v>64</v>
      </c>
      <c r="BH65" s="6462">
        <v>46752.56696759259</v>
      </c>
      <c r="BI65" s="3121" t="s">
        <v>64</v>
      </c>
      <c r="BJ65" s="3789">
        <f>BB65</f>
        <v>2903.2</v>
      </c>
      <c r="BK65" s="3790"/>
      <c r="BL65" s="3789"/>
      <c r="BM65" s="3791"/>
      <c r="BN65" s="6462">
        <v>46753</v>
      </c>
      <c r="BO65" s="3121" t="s">
        <v>64</v>
      </c>
      <c r="BP65" s="6462">
        <v>46934.568344907406</v>
      </c>
      <c r="BQ65" s="3121" t="s">
        <v>64</v>
      </c>
      <c r="BR65" s="3789">
        <v>3019.33</v>
      </c>
      <c r="BS65" s="3790"/>
      <c r="BT65" s="3789"/>
      <c r="BU65" s="3791"/>
      <c r="BV65" s="6462">
        <v>46935</v>
      </c>
      <c r="BW65" s="3121" t="s">
        <v>64</v>
      </c>
      <c r="BX65" s="6462">
        <v>47118.56989583333</v>
      </c>
      <c r="BY65" s="3121" t="s">
        <v>19</v>
      </c>
      <c r="BZ65" s="6293"/>
      <c r="CA65" s="6293"/>
      <c r="CB65" s="6293"/>
      <c r="CC65" s="4724"/>
      <c r="CD65" s="4725"/>
      <c r="CE65" s="4726" t="s">
        <v>64</v>
      </c>
      <c r="CF65" s="4725"/>
      <c r="CG65" s="4726" t="s">
        <v>64</v>
      </c>
      <c r="CH65" s="6293"/>
      <c r="CI65" s="6293"/>
      <c r="CJ65" s="6293"/>
      <c r="CK65" s="4724"/>
      <c r="CL65" s="4725"/>
      <c r="CM65" s="4726" t="s">
        <v>64</v>
      </c>
      <c r="CN65" s="4725"/>
      <c r="CO65" s="6554" t="s">
        <v>64</v>
      </c>
      <c r="CP65" s="3790"/>
      <c r="CQ65" s="4071" t="s">
        <v>419</v>
      </c>
      <c r="CR65" s="3975">
        <f>STRCHECKDATE(V66:CP66)</f>
      </c>
      <c r="CS65" s="4068"/>
      <c r="CT65" s="4068" t="str">
        <f>IF(T65="","",T65)</f>
        <v>вода</v>
      </c>
      <c r="CU65" s="4068"/>
      <c r="CV65" s="4068"/>
      <c r="CW65" s="3779">
        <v>0</v>
      </c>
    </row>
    <row s="6516" customFormat="1" customHeight="1" ht="0.75">
      <c r="A66" s="4055"/>
      <c r="B66" s="4055"/>
      <c r="C66" s="4055"/>
      <c r="D66" s="4055"/>
      <c r="E66" s="4056"/>
      <c r="F66" s="4056"/>
      <c r="G66" s="4056"/>
      <c r="H66" s="4056"/>
      <c r="I66" s="4057"/>
      <c r="J66" s="4057" t="str">
        <f>I47&amp;".4"</f>
        <v>1.1.1.1.1.4</v>
      </c>
      <c r="K66" s="4058"/>
      <c r="L66" s="4059"/>
      <c r="M66" s="3966"/>
      <c r="N66" s="3966"/>
      <c r="O66" s="3966"/>
      <c r="P66" s="4061"/>
      <c r="Q66" s="4061"/>
      <c r="R66" s="4063"/>
      <c r="S66" s="4073"/>
      <c r="T66" s="4066"/>
      <c r="U66" s="4066"/>
      <c r="V66" s="6293"/>
      <c r="W66" s="6293"/>
      <c r="X66" s="6293"/>
      <c r="Y66" s="3794" t="str">
        <f>Z65&amp;"-"&amp;AB65</f>
        <v>-</v>
      </c>
      <c r="Z66" s="4726"/>
      <c r="AA66" s="4726"/>
      <c r="AB66" s="4726"/>
      <c r="AC66" s="4726"/>
      <c r="AD66" s="3790"/>
      <c r="AE66" s="3790"/>
      <c r="AF66" s="3790"/>
      <c r="AG66" s="3794" t="str">
        <f>AH65&amp;"-"&amp;AJ65</f>
        <v>46023.561875-46295.56267361111</v>
      </c>
      <c r="AH66" s="3795"/>
      <c r="AI66" s="3121"/>
      <c r="AJ66" s="3795"/>
      <c r="AK66" s="3121"/>
      <c r="AL66" s="3790"/>
      <c r="AM66" s="3790"/>
      <c r="AN66" s="3790"/>
      <c r="AO66" s="3794" t="str">
        <f>AP65&amp;"-"&amp;AR65</f>
        <v>46296.563472222224-46387.564155092594</v>
      </c>
      <c r="AP66" s="3795"/>
      <c r="AQ66" s="3121"/>
      <c r="AR66" s="3795"/>
      <c r="AS66" s="3121"/>
      <c r="AT66" s="3790"/>
      <c r="AU66" s="3790"/>
      <c r="AV66" s="3790"/>
      <c r="AW66" s="3794" t="str">
        <f>AX65&amp;"-"&amp;AZ65</f>
        <v>46388.56484953704-46568.56553240741</v>
      </c>
      <c r="AX66" s="3795"/>
      <c r="AY66" s="3121"/>
      <c r="AZ66" s="3795"/>
      <c r="BA66" s="3121"/>
      <c r="BB66" s="3790"/>
      <c r="BC66" s="3790"/>
      <c r="BD66" s="3790"/>
      <c r="BE66" s="3794" t="str">
        <f>BF65&amp;"-"&amp;BH65</f>
        <v>46569.56625-46752.56696759259</v>
      </c>
      <c r="BF66" s="3795"/>
      <c r="BG66" s="3121"/>
      <c r="BH66" s="3795"/>
      <c r="BI66" s="3121"/>
      <c r="BJ66" s="3790"/>
      <c r="BK66" s="3790"/>
      <c r="BL66" s="3790"/>
      <c r="BM66" s="3794" t="str">
        <f>BN65&amp;"-"&amp;BP65</f>
        <v>46753-46934.568344907406</v>
      </c>
      <c r="BN66" s="3795"/>
      <c r="BO66" s="3121"/>
      <c r="BP66" s="3795"/>
      <c r="BQ66" s="3121"/>
      <c r="BR66" s="3790"/>
      <c r="BS66" s="3790"/>
      <c r="BT66" s="3790"/>
      <c r="BU66" s="3794" t="str">
        <f>BV65&amp;"-"&amp;BX65</f>
        <v>46935-47118.56989583333</v>
      </c>
      <c r="BV66" s="3795"/>
      <c r="BW66" s="3121"/>
      <c r="BX66" s="3795"/>
      <c r="BY66" s="3121"/>
      <c r="BZ66" s="6293"/>
      <c r="CA66" s="6293"/>
      <c r="CB66" s="6293"/>
      <c r="CC66" s="3794" t="str">
        <f>CD65&amp;"-"&amp;CF65</f>
        <v>-</v>
      </c>
      <c r="CD66" s="4726"/>
      <c r="CE66" s="4726"/>
      <c r="CF66" s="4726"/>
      <c r="CG66" s="4726"/>
      <c r="CH66" s="6293"/>
      <c r="CI66" s="6293"/>
      <c r="CJ66" s="6293"/>
      <c r="CK66" s="3794" t="str">
        <f>CL65&amp;"-"&amp;CN65</f>
        <v>-</v>
      </c>
      <c r="CL66" s="4726"/>
      <c r="CM66" s="4726"/>
      <c r="CN66" s="4726"/>
      <c r="CO66" s="6554"/>
      <c r="CP66" s="3790"/>
      <c r="CQ66" s="4074"/>
      <c r="CR66" s="3975"/>
      <c r="CS66" s="4068"/>
      <c r="CT66" s="4068" t="str">
        <f>IF(T66="","",T66)</f>
        <v/>
      </c>
      <c r="CU66" s="4068"/>
      <c r="CV66" s="4068"/>
      <c r="CW66" s="3779">
        <v>0</v>
      </c>
    </row>
    <row s="6516" customFormat="1" customHeight="1" ht="15">
      <c r="A67" s="4055"/>
      <c r="B67" s="4055"/>
      <c r="C67" s="4055"/>
      <c r="D67" s="4055"/>
      <c r="E67" s="4056"/>
      <c r="F67" s="4056"/>
      <c r="G67" s="4056"/>
      <c r="H67" s="4056"/>
      <c r="I67" s="4057"/>
      <c r="J67" s="4058" t="str">
        <f>I47&amp;".4"</f>
        <v>1.1.1.1.1.4</v>
      </c>
      <c r="K67" s="4055"/>
      <c r="L67" s="4059"/>
      <c r="M67" s="3966"/>
      <c r="N67" s="3966"/>
      <c r="O67" s="4060"/>
      <c r="P67" s="4061"/>
      <c r="Q67" s="4061"/>
      <c r="R67" s="4076"/>
      <c r="S67" s="4318"/>
      <c r="T67" s="4319" t="s">
        <v>420</v>
      </c>
      <c r="U67" s="4320"/>
      <c r="V67" s="4321"/>
      <c r="W67" s="4322"/>
      <c r="X67" s="4323"/>
      <c r="Y67" s="4324"/>
      <c r="Z67" s="4325"/>
      <c r="AA67" s="4326"/>
      <c r="AB67" s="4327"/>
      <c r="AC67" s="4328"/>
      <c r="AD67" s="4329"/>
      <c r="AE67" s="4330"/>
      <c r="AF67" s="4331"/>
      <c r="AG67" s="4332"/>
      <c r="AH67" s="4333"/>
      <c r="AI67" s="4334"/>
      <c r="AJ67" s="4335"/>
      <c r="AK67" s="4336"/>
      <c r="AL67" s="4337"/>
      <c r="AM67" s="4338"/>
      <c r="AN67" s="4339"/>
      <c r="AO67" s="4340"/>
      <c r="AP67" s="4341"/>
      <c r="AQ67" s="4342"/>
      <c r="AR67" s="4343"/>
      <c r="AS67" s="4344"/>
      <c r="AT67" s="4345"/>
      <c r="AU67" s="4346"/>
      <c r="AV67" s="4347"/>
      <c r="AW67" s="4348"/>
      <c r="AX67" s="4349"/>
      <c r="AY67" s="4350"/>
      <c r="AZ67" s="4351"/>
      <c r="BA67" s="4352"/>
      <c r="BB67" s="4353"/>
      <c r="BC67" s="4354"/>
      <c r="BD67" s="4355"/>
      <c r="BE67" s="4356"/>
      <c r="BF67" s="4357"/>
      <c r="BG67" s="4358"/>
      <c r="BH67" s="4359"/>
      <c r="BI67" s="4360"/>
      <c r="BJ67" s="4361"/>
      <c r="BK67" s="4362"/>
      <c r="BL67" s="4363"/>
      <c r="BM67" s="4364"/>
      <c r="BN67" s="4365"/>
      <c r="BO67" s="4366"/>
      <c r="BP67" s="4367"/>
      <c r="BQ67" s="4368"/>
      <c r="BR67" s="4369"/>
      <c r="BS67" s="4370"/>
      <c r="BT67" s="4371"/>
      <c r="BU67" s="4372"/>
      <c r="BV67" s="4373"/>
      <c r="BW67" s="4374"/>
      <c r="BX67" s="4375"/>
      <c r="BY67" s="4376"/>
      <c r="BZ67" s="4377"/>
      <c r="CA67" s="4378"/>
      <c r="CB67" s="4379"/>
      <c r="CC67" s="4380"/>
      <c r="CD67" s="4381"/>
      <c r="CE67" s="4382"/>
      <c r="CF67" s="4383"/>
      <c r="CG67" s="4384"/>
      <c r="CH67" s="4385"/>
      <c r="CI67" s="4386"/>
      <c r="CJ67" s="4387"/>
      <c r="CK67" s="4388"/>
      <c r="CL67" s="4389"/>
      <c r="CM67" s="4390"/>
      <c r="CN67" s="4391"/>
      <c r="CO67" s="6545"/>
      <c r="CP67" s="4393"/>
      <c r="CQ67" s="4153"/>
      <c r="CR67" s="3975"/>
      <c r="CS67" s="4068"/>
      <c r="CT67" s="4068" t="str">
        <f>IF(T67="","",T67)</f>
        <v>Добавить вид теплоносителя (параметры теплоносителя)</v>
      </c>
      <c r="CU67" s="4068"/>
      <c r="CV67" s="4068"/>
      <c r="CW67" s="3779">
        <v>0</v>
      </c>
    </row>
    <row s="6516" customFormat="1" customHeight="1" ht="21">
      <c r="A68" s="4055"/>
      <c r="B68" s="4055"/>
      <c r="C68" s="4055"/>
      <c r="D68" s="4055"/>
      <c r="E68" s="4056"/>
      <c r="F68" s="4056"/>
      <c r="G68" s="4056"/>
      <c r="H68" s="4056"/>
      <c r="I68" s="4057"/>
      <c r="J68" s="4058" t="str">
        <f>I47&amp;".6"</f>
        <v>1.1.1.1.1.6</v>
      </c>
      <c r="K68" s="4055"/>
      <c r="L68" s="4059" t="s">
        <v>415</v>
      </c>
      <c r="M68" s="3966"/>
      <c r="N68" s="3966"/>
      <c r="O68" s="4060"/>
      <c r="P68" s="4061"/>
      <c r="Q68" s="4062" t="s">
        <v>454</v>
      </c>
      <c r="R68" s="4063"/>
      <c r="S68" s="4064" t="str">
        <f>$J68</f>
        <v>1.1.1.1.1.6</v>
      </c>
      <c r="T68" s="4065" t="s">
        <v>416</v>
      </c>
      <c r="U68" s="4066"/>
      <c r="V68" s="3786"/>
      <c r="W68" s="3787"/>
      <c r="X68" s="3787"/>
      <c r="Y68" s="3787"/>
      <c r="Z68" s="3787"/>
      <c r="AA68" s="3787"/>
      <c r="AB68" s="3787"/>
      <c r="AC68" s="3788"/>
      <c r="AD68" s="3786" t="s">
        <v>459</v>
      </c>
      <c r="AE68" s="3787"/>
      <c r="AF68" s="3787"/>
      <c r="AG68" s="3787"/>
      <c r="AH68" s="3787"/>
      <c r="AI68" s="3787"/>
      <c r="AJ68" s="3787"/>
      <c r="AK68" s="3787"/>
      <c r="AL68" s="3786"/>
      <c r="AM68" s="3787"/>
      <c r="AN68" s="3787"/>
      <c r="AO68" s="3787"/>
      <c r="AP68" s="3787"/>
      <c r="AQ68" s="3787"/>
      <c r="AR68" s="3787"/>
      <c r="AS68" s="3788"/>
      <c r="AT68" s="3786"/>
      <c r="AU68" s="3787"/>
      <c r="AV68" s="3787"/>
      <c r="AW68" s="3787"/>
      <c r="AX68" s="3787"/>
      <c r="AY68" s="3787"/>
      <c r="AZ68" s="3787"/>
      <c r="BA68" s="3788"/>
      <c r="BB68" s="3786"/>
      <c r="BC68" s="3787"/>
      <c r="BD68" s="3787"/>
      <c r="BE68" s="3787"/>
      <c r="BF68" s="3787"/>
      <c r="BG68" s="3787"/>
      <c r="BH68" s="3787"/>
      <c r="BI68" s="3788"/>
      <c r="BJ68" s="3786"/>
      <c r="BK68" s="3787"/>
      <c r="BL68" s="3787"/>
      <c r="BM68" s="3787"/>
      <c r="BN68" s="3787"/>
      <c r="BO68" s="3787"/>
      <c r="BP68" s="3787"/>
      <c r="BQ68" s="3788"/>
      <c r="BR68" s="3786"/>
      <c r="BS68" s="3787"/>
      <c r="BT68" s="3787"/>
      <c r="BU68" s="3787"/>
      <c r="BV68" s="3787"/>
      <c r="BW68" s="3787"/>
      <c r="BX68" s="3787"/>
      <c r="BY68" s="3788"/>
      <c r="BZ68" s="3786"/>
      <c r="CA68" s="3787"/>
      <c r="CB68" s="3787"/>
      <c r="CC68" s="3787"/>
      <c r="CD68" s="3787"/>
      <c r="CE68" s="3787"/>
      <c r="CF68" s="3787"/>
      <c r="CG68" s="3788"/>
      <c r="CH68" s="3786"/>
      <c r="CI68" s="3787"/>
      <c r="CJ68" s="3787"/>
      <c r="CK68" s="3787"/>
      <c r="CL68" s="3787"/>
      <c r="CM68" s="3787"/>
      <c r="CN68" s="3787"/>
      <c r="CO68" s="6522"/>
      <c r="CP68" s="3788"/>
      <c r="CQ68" s="4067" t="s">
        <v>417</v>
      </c>
      <c r="CR68" s="3975"/>
      <c r="CS68" s="4068"/>
      <c r="CT68" s="4068" t="str">
        <f>IF(T68="","",T68)</f>
        <v>Группа потребителей</v>
      </c>
      <c r="CU68" s="4068"/>
      <c r="CV68" s="4068"/>
      <c r="CW68" s="3779">
        <v>0</v>
      </c>
    </row>
    <row s="6516" customFormat="1" customHeight="1" ht="21">
      <c r="A69" s="4055"/>
      <c r="B69" s="4055"/>
      <c r="C69" s="4055"/>
      <c r="D69" s="4055"/>
      <c r="E69" s="4056"/>
      <c r="F69" s="4056"/>
      <c r="G69" s="4056"/>
      <c r="H69" s="4056"/>
      <c r="I69" s="4057"/>
      <c r="J69" s="4057" t="str">
        <f>I47&amp;".5"</f>
        <v>1.1.1.1.1.5</v>
      </c>
      <c r="K69" s="4058" t="str">
        <f>J68&amp;".1"</f>
        <v>1.1.1.1.1.6.1</v>
      </c>
      <c r="L69" s="4059" t="s">
        <v>418</v>
      </c>
      <c r="M69" s="3966"/>
      <c r="N69" s="3966"/>
      <c r="O69" s="3966"/>
      <c r="P69" s="4061"/>
      <c r="Q69" s="4061"/>
      <c r="R69" s="4063">
        <v>1</v>
      </c>
      <c r="S69" s="4064" t="str">
        <f>$K69</f>
        <v>1.1.1.1.1.6.1</v>
      </c>
      <c r="T69" s="4070" t="s">
        <v>458</v>
      </c>
      <c r="U69" s="4066"/>
      <c r="V69" s="6293"/>
      <c r="W69" s="6293"/>
      <c r="X69" s="6293"/>
      <c r="Y69" s="4724"/>
      <c r="Z69" s="4725"/>
      <c r="AA69" s="4726" t="s">
        <v>64</v>
      </c>
      <c r="AB69" s="4725"/>
      <c r="AC69" s="4726" t="s">
        <v>64</v>
      </c>
      <c r="AD69" s="3789">
        <v>2636.67</v>
      </c>
      <c r="AE69" s="3790"/>
      <c r="AF69" s="3789"/>
      <c r="AG69" s="3791"/>
      <c r="AH69" s="6462">
        <v>46023.561944444446</v>
      </c>
      <c r="AI69" s="3121" t="s">
        <v>64</v>
      </c>
      <c r="AJ69" s="6462">
        <v>46295.5627662037</v>
      </c>
      <c r="AK69" s="3121" t="s">
        <v>64</v>
      </c>
      <c r="AL69" s="3789">
        <v>2953.07</v>
      </c>
      <c r="AM69" s="3790"/>
      <c r="AN69" s="3789"/>
      <c r="AO69" s="3791"/>
      <c r="AP69" s="6462">
        <v>46296.56358796296</v>
      </c>
      <c r="AQ69" s="3121" t="s">
        <v>64</v>
      </c>
      <c r="AR69" s="6462">
        <v>46387.564259259256</v>
      </c>
      <c r="AS69" s="3121" t="s">
        <v>64</v>
      </c>
      <c r="AT69" s="3789">
        <v>2953.07</v>
      </c>
      <c r="AU69" s="3790"/>
      <c r="AV69" s="3789"/>
      <c r="AW69" s="3791"/>
      <c r="AX69" s="6462">
        <v>46388.56494212963</v>
      </c>
      <c r="AY69" s="3121" t="s">
        <v>64</v>
      </c>
      <c r="AZ69" s="6462">
        <v>46568.56560185185</v>
      </c>
      <c r="BA69" s="3121" t="s">
        <v>64</v>
      </c>
      <c r="BB69" s="3789">
        <v>2652.07</v>
      </c>
      <c r="BC69" s="3790"/>
      <c r="BD69" s="3789"/>
      <c r="BE69" s="3791"/>
      <c r="BF69" s="6462">
        <v>46569.56638888889</v>
      </c>
      <c r="BG69" s="3121" t="s">
        <v>64</v>
      </c>
      <c r="BH69" s="6462">
        <v>46752.56707175926</v>
      </c>
      <c r="BI69" s="3121" t="s">
        <v>64</v>
      </c>
      <c r="BJ69" s="3789">
        <f>BB69</f>
        <v>2652.07</v>
      </c>
      <c r="BK69" s="3790"/>
      <c r="BL69" s="3789"/>
      <c r="BM69" s="3791"/>
      <c r="BN69" s="6462">
        <v>46753</v>
      </c>
      <c r="BO69" s="3121" t="s">
        <v>64</v>
      </c>
      <c r="BP69" s="6462">
        <v>46934.56842592593</v>
      </c>
      <c r="BQ69" s="3121" t="s">
        <v>64</v>
      </c>
      <c r="BR69" s="3789">
        <v>2758.15</v>
      </c>
      <c r="BS69" s="3790"/>
      <c r="BT69" s="3789"/>
      <c r="BU69" s="3791"/>
      <c r="BV69" s="6462">
        <v>46935.56894675926</v>
      </c>
      <c r="BW69" s="3121" t="s">
        <v>64</v>
      </c>
      <c r="BX69" s="6462">
        <v>47118.57009259259</v>
      </c>
      <c r="BY69" s="3121" t="s">
        <v>19</v>
      </c>
      <c r="BZ69" s="6293"/>
      <c r="CA69" s="6293"/>
      <c r="CB69" s="6293"/>
      <c r="CC69" s="4724"/>
      <c r="CD69" s="4725"/>
      <c r="CE69" s="4726" t="s">
        <v>64</v>
      </c>
      <c r="CF69" s="4725"/>
      <c r="CG69" s="4726" t="s">
        <v>64</v>
      </c>
      <c r="CH69" s="6293"/>
      <c r="CI69" s="6293"/>
      <c r="CJ69" s="6293"/>
      <c r="CK69" s="4724"/>
      <c r="CL69" s="4725"/>
      <c r="CM69" s="4726" t="s">
        <v>64</v>
      </c>
      <c r="CN69" s="4725"/>
      <c r="CO69" s="6554" t="s">
        <v>64</v>
      </c>
      <c r="CP69" s="3790"/>
      <c r="CQ69" s="4071" t="s">
        <v>419</v>
      </c>
      <c r="CR69" s="3975">
        <f>STRCHECKDATE(V70:CP70)</f>
      </c>
      <c r="CS69" s="4068"/>
      <c r="CT69" s="4068" t="str">
        <f>IF(T69="","",T69)</f>
        <v>вода</v>
      </c>
      <c r="CU69" s="4068"/>
      <c r="CV69" s="4068"/>
      <c r="CW69" s="3779">
        <v>0</v>
      </c>
    </row>
    <row s="6516" customFormat="1" customHeight="1" ht="0.75">
      <c r="A70" s="4055"/>
      <c r="B70" s="4055"/>
      <c r="C70" s="4055"/>
      <c r="D70" s="4055"/>
      <c r="E70" s="4056"/>
      <c r="F70" s="4056"/>
      <c r="G70" s="4056"/>
      <c r="H70" s="4056"/>
      <c r="I70" s="4057"/>
      <c r="J70" s="4057" t="str">
        <f>I47&amp;".5"</f>
        <v>1.1.1.1.1.5</v>
      </c>
      <c r="K70" s="4058"/>
      <c r="L70" s="4059"/>
      <c r="M70" s="3966"/>
      <c r="N70" s="3966"/>
      <c r="O70" s="3966"/>
      <c r="P70" s="4061"/>
      <c r="Q70" s="4061"/>
      <c r="R70" s="4063"/>
      <c r="S70" s="4073"/>
      <c r="T70" s="4066"/>
      <c r="U70" s="4066"/>
      <c r="V70" s="6293"/>
      <c r="W70" s="6293"/>
      <c r="X70" s="6293"/>
      <c r="Y70" s="3794" t="str">
        <f>Z69&amp;"-"&amp;AB69</f>
        <v>-</v>
      </c>
      <c r="Z70" s="4726"/>
      <c r="AA70" s="4726"/>
      <c r="AB70" s="4726"/>
      <c r="AC70" s="4726"/>
      <c r="AD70" s="3790"/>
      <c r="AE70" s="3790"/>
      <c r="AF70" s="3790"/>
      <c r="AG70" s="3794" t="str">
        <f>AH69&amp;"-"&amp;AJ69</f>
        <v>46023.561944444446-46295.5627662037</v>
      </c>
      <c r="AH70" s="3795"/>
      <c r="AI70" s="3121"/>
      <c r="AJ70" s="3795"/>
      <c r="AK70" s="3121"/>
      <c r="AL70" s="3790"/>
      <c r="AM70" s="3790"/>
      <c r="AN70" s="3790"/>
      <c r="AO70" s="3794" t="str">
        <f>AP69&amp;"-"&amp;AR69</f>
        <v>46296.56358796296-46387.564259259256</v>
      </c>
      <c r="AP70" s="3795"/>
      <c r="AQ70" s="3121"/>
      <c r="AR70" s="3795"/>
      <c r="AS70" s="3121"/>
      <c r="AT70" s="3790"/>
      <c r="AU70" s="3790"/>
      <c r="AV70" s="3790"/>
      <c r="AW70" s="3794" t="str">
        <f>AX69&amp;"-"&amp;AZ69</f>
        <v>46388.56494212963-46568.56560185185</v>
      </c>
      <c r="AX70" s="3795"/>
      <c r="AY70" s="3121"/>
      <c r="AZ70" s="3795"/>
      <c r="BA70" s="3121"/>
      <c r="BB70" s="3790"/>
      <c r="BC70" s="3790"/>
      <c r="BD70" s="3790"/>
      <c r="BE70" s="3794" t="str">
        <f>BF69&amp;"-"&amp;BH69</f>
        <v>46569.56638888889-46752.56707175926</v>
      </c>
      <c r="BF70" s="3795"/>
      <c r="BG70" s="3121"/>
      <c r="BH70" s="3795"/>
      <c r="BI70" s="3121"/>
      <c r="BJ70" s="3790"/>
      <c r="BK70" s="3790"/>
      <c r="BL70" s="3790"/>
      <c r="BM70" s="3794" t="str">
        <f>BN69&amp;"-"&amp;BP69</f>
        <v>46753-46934.56842592593</v>
      </c>
      <c r="BN70" s="3795"/>
      <c r="BO70" s="3121"/>
      <c r="BP70" s="3795"/>
      <c r="BQ70" s="3121"/>
      <c r="BR70" s="3790"/>
      <c r="BS70" s="3790"/>
      <c r="BT70" s="3790"/>
      <c r="BU70" s="3794" t="str">
        <f>BV69&amp;"-"&amp;BX69</f>
        <v>46935.56894675926-47118.57009259259</v>
      </c>
      <c r="BV70" s="3795"/>
      <c r="BW70" s="3121"/>
      <c r="BX70" s="3795"/>
      <c r="BY70" s="3121"/>
      <c r="BZ70" s="6293"/>
      <c r="CA70" s="6293"/>
      <c r="CB70" s="6293"/>
      <c r="CC70" s="3794" t="str">
        <f>CD69&amp;"-"&amp;CF69</f>
        <v>-</v>
      </c>
      <c r="CD70" s="4726"/>
      <c r="CE70" s="4726"/>
      <c r="CF70" s="4726"/>
      <c r="CG70" s="4726"/>
      <c r="CH70" s="6293"/>
      <c r="CI70" s="6293"/>
      <c r="CJ70" s="6293"/>
      <c r="CK70" s="3794" t="str">
        <f>CL69&amp;"-"&amp;CN69</f>
        <v>-</v>
      </c>
      <c r="CL70" s="4726"/>
      <c r="CM70" s="4726"/>
      <c r="CN70" s="4726"/>
      <c r="CO70" s="6554"/>
      <c r="CP70" s="3790"/>
      <c r="CQ70" s="4074"/>
      <c r="CR70" s="3975"/>
      <c r="CS70" s="4068"/>
      <c r="CT70" s="4068" t="str">
        <f>IF(T70="","",T70)</f>
        <v/>
      </c>
      <c r="CU70" s="4068"/>
      <c r="CV70" s="4068"/>
      <c r="CW70" s="3779">
        <v>0</v>
      </c>
    </row>
    <row s="6516" customFormat="1" customHeight="1" ht="15">
      <c r="A71" s="4055"/>
      <c r="B71" s="4055"/>
      <c r="C71" s="4055"/>
      <c r="D71" s="4055"/>
      <c r="E71" s="4056"/>
      <c r="F71" s="4056"/>
      <c r="G71" s="4056"/>
      <c r="H71" s="4056"/>
      <c r="I71" s="4057"/>
      <c r="J71" s="4058" t="str">
        <f>I47&amp;".5"</f>
        <v>1.1.1.1.1.5</v>
      </c>
      <c r="K71" s="4055"/>
      <c r="L71" s="4059"/>
      <c r="M71" s="3966"/>
      <c r="N71" s="3966"/>
      <c r="O71" s="4060"/>
      <c r="P71" s="4061"/>
      <c r="Q71" s="4061"/>
      <c r="R71" s="4076"/>
      <c r="S71" s="4398"/>
      <c r="T71" s="4399" t="s">
        <v>420</v>
      </c>
      <c r="U71" s="4400"/>
      <c r="V71" s="4401"/>
      <c r="W71" s="4402"/>
      <c r="X71" s="4403"/>
      <c r="Y71" s="4404"/>
      <c r="Z71" s="4405"/>
      <c r="AA71" s="4406"/>
      <c r="AB71" s="4407"/>
      <c r="AC71" s="4408"/>
      <c r="AD71" s="4409"/>
      <c r="AE71" s="4410"/>
      <c r="AF71" s="4411"/>
      <c r="AG71" s="4412"/>
      <c r="AH71" s="4413"/>
      <c r="AI71" s="4414"/>
      <c r="AJ71" s="4415"/>
      <c r="AK71" s="4416"/>
      <c r="AL71" s="4417"/>
      <c r="AM71" s="4418"/>
      <c r="AN71" s="4419"/>
      <c r="AO71" s="4420"/>
      <c r="AP71" s="4421"/>
      <c r="AQ71" s="4422"/>
      <c r="AR71" s="4423"/>
      <c r="AS71" s="4424"/>
      <c r="AT71" s="4425"/>
      <c r="AU71" s="4426"/>
      <c r="AV71" s="4427"/>
      <c r="AW71" s="4428"/>
      <c r="AX71" s="4429"/>
      <c r="AY71" s="4430"/>
      <c r="AZ71" s="4431"/>
      <c r="BA71" s="4432"/>
      <c r="BB71" s="4433"/>
      <c r="BC71" s="4434"/>
      <c r="BD71" s="4435"/>
      <c r="BE71" s="4436"/>
      <c r="BF71" s="4437"/>
      <c r="BG71" s="4438"/>
      <c r="BH71" s="4439"/>
      <c r="BI71" s="4440"/>
      <c r="BJ71" s="4441"/>
      <c r="BK71" s="4442"/>
      <c r="BL71" s="4443"/>
      <c r="BM71" s="4444"/>
      <c r="BN71" s="4445"/>
      <c r="BO71" s="4446"/>
      <c r="BP71" s="4447"/>
      <c r="BQ71" s="4448"/>
      <c r="BR71" s="4449"/>
      <c r="BS71" s="4450"/>
      <c r="BT71" s="4451"/>
      <c r="BU71" s="4452"/>
      <c r="BV71" s="4453"/>
      <c r="BW71" s="4454"/>
      <c r="BX71" s="4455"/>
      <c r="BY71" s="4456"/>
      <c r="BZ71" s="4457"/>
      <c r="CA71" s="4458"/>
      <c r="CB71" s="4459"/>
      <c r="CC71" s="4460"/>
      <c r="CD71" s="4461"/>
      <c r="CE71" s="4462"/>
      <c r="CF71" s="4463"/>
      <c r="CG71" s="4464"/>
      <c r="CH71" s="4465"/>
      <c r="CI71" s="4466"/>
      <c r="CJ71" s="4467"/>
      <c r="CK71" s="4468"/>
      <c r="CL71" s="4469"/>
      <c r="CM71" s="4470"/>
      <c r="CN71" s="4471"/>
      <c r="CO71" s="6546"/>
      <c r="CP71" s="4473"/>
      <c r="CQ71" s="4153"/>
      <c r="CR71" s="3975"/>
      <c r="CS71" s="4068"/>
      <c r="CT71" s="4068" t="str">
        <f>IF(T71="","",T71)</f>
        <v>Добавить вид теплоносителя (параметры теплоносителя)</v>
      </c>
      <c r="CU71" s="4068"/>
      <c r="CV71" s="4068"/>
      <c r="CW71" s="3779">
        <v>0</v>
      </c>
    </row>
    <row customHeight="1" ht="11.549999999999999">
      <c r="A72" s="1428" t="s">
        <v>166</v>
      </c>
      <c r="B72" s="1428" t="s">
        <v>167</v>
      </c>
      <c r="C72" s="1428" t="s">
        <v>168</v>
      </c>
      <c r="D72" s="1428" t="s">
        <v>169</v>
      </c>
      <c r="E72" s="2324"/>
      <c r="F72" s="2324"/>
      <c r="G72" s="2324"/>
      <c r="H72" s="2324"/>
      <c r="I72" s="2321"/>
      <c r="J72" s="1428"/>
      <c r="K72" s="1428"/>
      <c r="L72" s="1429"/>
      <c r="P72" s="2322"/>
      <c r="Q72" s="1396"/>
      <c r="R72" s="421"/>
      <c r="S72" s="1343"/>
      <c r="T72" s="352" t="s">
        <v>421</v>
      </c>
      <c r="U72" s="432"/>
      <c r="V72" s="432"/>
      <c r="W72" s="432"/>
      <c r="X72" s="432"/>
      <c r="Y72" s="432"/>
      <c r="Z72" s="432"/>
      <c r="AA72" s="432"/>
      <c r="AB72" s="432"/>
      <c r="AC72" s="431"/>
      <c r="AD72" s="432"/>
      <c r="AE72" s="432"/>
      <c r="AF72" s="432"/>
      <c r="AG72" s="432"/>
      <c r="AH72" s="432"/>
      <c r="AI72" s="432"/>
      <c r="AJ72" s="432"/>
      <c r="AK72" s="431"/>
      <c r="AL72" s="4474"/>
      <c r="AM72" s="4475"/>
      <c r="AN72" s="4476"/>
      <c r="AO72" s="4477"/>
      <c r="AP72" s="4478"/>
      <c r="AQ72" s="4479"/>
      <c r="AR72" s="4480"/>
      <c r="AS72" s="4481"/>
      <c r="AT72" s="4482"/>
      <c r="AU72" s="4483"/>
      <c r="AV72" s="4484"/>
      <c r="AW72" s="4485"/>
      <c r="AX72" s="4486"/>
      <c r="AY72" s="4487"/>
      <c r="AZ72" s="4488"/>
      <c r="BA72" s="4489"/>
      <c r="BB72" s="4490"/>
      <c r="BC72" s="4491"/>
      <c r="BD72" s="4492"/>
      <c r="BE72" s="4493"/>
      <c r="BF72" s="4494"/>
      <c r="BG72" s="4495"/>
      <c r="BH72" s="4496"/>
      <c r="BI72" s="4497"/>
      <c r="BJ72" s="4498"/>
      <c r="BK72" s="4499"/>
      <c r="BL72" s="4500"/>
      <c r="BM72" s="4501"/>
      <c r="BN72" s="4502"/>
      <c r="BO72" s="4503"/>
      <c r="BP72" s="4504"/>
      <c r="BQ72" s="4505"/>
      <c r="BR72" s="4506"/>
      <c r="BS72" s="4507"/>
      <c r="BT72" s="4508"/>
      <c r="BU72" s="4509"/>
      <c r="BV72" s="4510"/>
      <c r="BW72" s="4511"/>
      <c r="BX72" s="4512"/>
      <c r="BY72" s="4513"/>
      <c r="BZ72" s="4514"/>
      <c r="CA72" s="4515"/>
      <c r="CB72" s="4516"/>
      <c r="CC72" s="4517"/>
      <c r="CD72" s="4518"/>
      <c r="CE72" s="4519"/>
      <c r="CF72" s="4520"/>
      <c r="CG72" s="4521"/>
      <c r="CH72" s="4522"/>
      <c r="CI72" s="4523"/>
      <c r="CJ72" s="4524"/>
      <c r="CK72" s="4525"/>
      <c r="CL72" s="4526"/>
      <c r="CM72" s="4527"/>
      <c r="CN72" s="4528"/>
      <c r="CO72" s="6547"/>
      <c r="CP72" s="432"/>
      <c r="CQ72" s="368"/>
      <c r="CS72" s="565"/>
      <c r="CT72" s="565" t="str">
        <f>IF(T72="","",T72)</f>
        <v>Добавить группу потребителей</v>
      </c>
      <c r="CU72" s="565"/>
      <c r="CV72" s="565"/>
      <c r="CW72" s="1220">
        <v>11</v>
      </c>
    </row>
    <row customHeight="1" ht="14.699999999999998">
      <c r="A73" s="1428" t="s">
        <v>166</v>
      </c>
      <c r="B73" s="1428" t="s">
        <v>167</v>
      </c>
      <c r="C73" s="1428" t="s">
        <v>168</v>
      </c>
      <c r="D73" s="1428" t="s">
        <v>169</v>
      </c>
      <c r="E73" s="2324"/>
      <c r="F73" s="2324"/>
      <c r="G73" s="2324"/>
      <c r="H73" s="2323"/>
      <c r="I73" s="1428"/>
      <c r="J73" s="1428"/>
      <c r="K73" s="1428"/>
      <c r="L73" s="1429"/>
      <c r="M73" s="1430"/>
      <c r="N73" s="1430"/>
      <c r="O73" s="602"/>
      <c r="P73" s="425"/>
      <c r="Q73" s="440"/>
      <c r="R73" s="420"/>
      <c r="S73" s="1343"/>
      <c r="T73" s="430" t="s">
        <v>422</v>
      </c>
      <c r="U73" s="432"/>
      <c r="V73" s="432"/>
      <c r="W73" s="432"/>
      <c r="X73" s="432"/>
      <c r="Y73" s="432"/>
      <c r="Z73" s="432"/>
      <c r="AA73" s="432"/>
      <c r="AB73" s="432"/>
      <c r="AC73" s="431"/>
      <c r="AD73" s="432"/>
      <c r="AE73" s="432"/>
      <c r="AF73" s="432"/>
      <c r="AG73" s="432"/>
      <c r="AH73" s="432"/>
      <c r="AI73" s="432"/>
      <c r="AJ73" s="432"/>
      <c r="AK73" s="431"/>
      <c r="AL73" s="4530"/>
      <c r="AM73" s="4531"/>
      <c r="AN73" s="4532"/>
      <c r="AO73" s="4533"/>
      <c r="AP73" s="4534"/>
      <c r="AQ73" s="4535"/>
      <c r="AR73" s="4536"/>
      <c r="AS73" s="4537"/>
      <c r="AT73" s="4538"/>
      <c r="AU73" s="4539"/>
      <c r="AV73" s="4540"/>
      <c r="AW73" s="4541"/>
      <c r="AX73" s="4542"/>
      <c r="AY73" s="4543"/>
      <c r="AZ73" s="4544"/>
      <c r="BA73" s="4545"/>
      <c r="BB73" s="4546"/>
      <c r="BC73" s="4547"/>
      <c r="BD73" s="4548"/>
      <c r="BE73" s="4549"/>
      <c r="BF73" s="4550"/>
      <c r="BG73" s="4551"/>
      <c r="BH73" s="4552"/>
      <c r="BI73" s="4553"/>
      <c r="BJ73" s="4554"/>
      <c r="BK73" s="4555"/>
      <c r="BL73" s="4556"/>
      <c r="BM73" s="4557"/>
      <c r="BN73" s="4558"/>
      <c r="BO73" s="4559"/>
      <c r="BP73" s="4560"/>
      <c r="BQ73" s="4561"/>
      <c r="BR73" s="4562"/>
      <c r="BS73" s="4563"/>
      <c r="BT73" s="4564"/>
      <c r="BU73" s="4565"/>
      <c r="BV73" s="4566"/>
      <c r="BW73" s="4567"/>
      <c r="BX73" s="4568"/>
      <c r="BY73" s="4569"/>
      <c r="BZ73" s="4570"/>
      <c r="CA73" s="4571"/>
      <c r="CB73" s="4572"/>
      <c r="CC73" s="4573"/>
      <c r="CD73" s="4574"/>
      <c r="CE73" s="4575"/>
      <c r="CF73" s="4576"/>
      <c r="CG73" s="4577"/>
      <c r="CH73" s="4578"/>
      <c r="CI73" s="4579"/>
      <c r="CJ73" s="4580"/>
      <c r="CK73" s="4581"/>
      <c r="CL73" s="4582"/>
      <c r="CM73" s="4583"/>
      <c r="CN73" s="4584"/>
      <c r="CO73" s="6548"/>
      <c r="CP73" s="432"/>
      <c r="CQ73" s="368"/>
      <c r="CS73" s="565"/>
      <c r="CT73" s="565" t="str">
        <f>IF(T73="","",T73)</f>
        <v>Добавить схему подключения</v>
      </c>
      <c r="CU73" s="565"/>
      <c r="CV73" s="565"/>
      <c r="CW73" s="1220">
        <v>14</v>
      </c>
    </row>
    <row s="5305" customFormat="1" customHeight="1" ht="1.05">
      <c r="A74" s="1408" t="s">
        <v>166</v>
      </c>
      <c r="B74" s="1408" t="s">
        <v>167</v>
      </c>
      <c r="C74" s="1408" t="s">
        <v>168</v>
      </c>
      <c r="D74" s="1379"/>
      <c r="E74" s="2324"/>
      <c r="F74" s="2324"/>
      <c r="G74" s="2323"/>
      <c r="H74" s="1379"/>
      <c r="I74" s="1379"/>
      <c r="J74" s="1379"/>
      <c r="K74" s="1379"/>
      <c r="L74" s="1404"/>
      <c r="M74" s="1380"/>
      <c r="N74" s="1380"/>
      <c r="P74" s="1381"/>
      <c r="Q74" s="1382"/>
      <c r="R74" s="1381"/>
      <c r="S74" s="1387"/>
      <c r="T74" s="1390" t="s">
        <v>170</v>
      </c>
      <c r="U74" s="1389"/>
      <c r="V74" s="1389"/>
      <c r="W74" s="1389"/>
      <c r="X74" s="1389"/>
      <c r="Y74" s="1389"/>
      <c r="Z74" s="1389"/>
      <c r="AA74" s="1389"/>
      <c r="AB74" s="1389"/>
      <c r="AC74" s="1389"/>
      <c r="AD74" s="1389"/>
      <c r="AE74" s="1389"/>
      <c r="AF74" s="1389"/>
      <c r="AG74" s="1389"/>
      <c r="AH74" s="1389"/>
      <c r="AI74" s="1389"/>
      <c r="AJ74" s="1389"/>
      <c r="AK74" s="1389"/>
      <c r="AL74" s="3965"/>
      <c r="AM74" s="3965"/>
      <c r="AN74" s="3965"/>
      <c r="AO74" s="3965"/>
      <c r="AP74" s="3965"/>
      <c r="AQ74" s="3965"/>
      <c r="AR74" s="3965"/>
      <c r="AS74" s="3965"/>
      <c r="AT74" s="3965"/>
      <c r="AU74" s="3965"/>
      <c r="AV74" s="3965"/>
      <c r="AW74" s="3965"/>
      <c r="AX74" s="3965"/>
      <c r="AY74" s="3965"/>
      <c r="AZ74" s="3965"/>
      <c r="BA74" s="3965"/>
      <c r="BB74" s="3965"/>
      <c r="BC74" s="3965"/>
      <c r="BD74" s="3965"/>
      <c r="BE74" s="3965"/>
      <c r="BF74" s="3965"/>
      <c r="BG74" s="3965"/>
      <c r="BH74" s="3965"/>
      <c r="BI74" s="3965"/>
      <c r="BJ74" s="3965"/>
      <c r="BK74" s="3965"/>
      <c r="BL74" s="3965"/>
      <c r="BM74" s="3965"/>
      <c r="BN74" s="3965"/>
      <c r="BO74" s="3965"/>
      <c r="BP74" s="3965"/>
      <c r="BQ74" s="3965"/>
      <c r="BR74" s="3965"/>
      <c r="BS74" s="3965"/>
      <c r="BT74" s="3965"/>
      <c r="BU74" s="3965"/>
      <c r="BV74" s="3965"/>
      <c r="BW74" s="3965"/>
      <c r="BX74" s="3965"/>
      <c r="BY74" s="3965"/>
      <c r="BZ74" s="3965"/>
      <c r="CA74" s="3965"/>
      <c r="CB74" s="3965"/>
      <c r="CC74" s="3965"/>
      <c r="CD74" s="3965"/>
      <c r="CE74" s="3965"/>
      <c r="CF74" s="3965"/>
      <c r="CG74" s="3965"/>
      <c r="CH74" s="3965"/>
      <c r="CI74" s="3965"/>
      <c r="CJ74" s="3965"/>
      <c r="CK74" s="3965"/>
      <c r="CL74" s="3965"/>
      <c r="CM74" s="3965"/>
      <c r="CN74" s="3965"/>
      <c r="CO74" s="6528"/>
      <c r="CP74" s="1389"/>
      <c r="CQ74" s="1389"/>
      <c r="CS74" s="854"/>
      <c r="CT74" s="854" t="str">
        <f>IF(T74="","",T74)</f>
        <v>Добавить источник для дифференциации</v>
      </c>
      <c r="CU74" s="854"/>
      <c r="CV74" s="854"/>
      <c r="CW74" s="583">
        <v>1</v>
      </c>
    </row>
    <row s="5305" customFormat="1" customHeight="1" ht="1.05">
      <c r="A75" s="1408" t="s">
        <v>166</v>
      </c>
      <c r="B75" s="1408" t="s">
        <v>167</v>
      </c>
      <c r="C75" s="1379"/>
      <c r="D75" s="1379"/>
      <c r="E75" s="2324"/>
      <c r="F75" s="2323"/>
      <c r="G75" s="1379"/>
      <c r="H75" s="1379"/>
      <c r="I75" s="1379"/>
      <c r="J75" s="1379"/>
      <c r="K75" s="1379"/>
      <c r="L75" s="1404"/>
      <c r="M75" s="1386"/>
      <c r="N75" s="1386"/>
      <c r="P75" s="1381"/>
      <c r="Q75" s="1382"/>
      <c r="R75" s="1381"/>
      <c r="S75" s="1387"/>
      <c r="T75" s="1390" t="s">
        <v>171</v>
      </c>
      <c r="U75" s="1389"/>
      <c r="V75" s="1389"/>
      <c r="W75" s="1389"/>
      <c r="X75" s="1389"/>
      <c r="Y75" s="1389"/>
      <c r="Z75" s="1389"/>
      <c r="AA75" s="1389"/>
      <c r="AB75" s="1389"/>
      <c r="AC75" s="1389"/>
      <c r="AD75" s="1389"/>
      <c r="AE75" s="1389"/>
      <c r="AF75" s="1389"/>
      <c r="AG75" s="1389"/>
      <c r="AH75" s="1389"/>
      <c r="AI75" s="1389"/>
      <c r="AJ75" s="1389"/>
      <c r="AK75" s="1389"/>
      <c r="AL75" s="3965"/>
      <c r="AM75" s="3965"/>
      <c r="AN75" s="3965"/>
      <c r="AO75" s="3965"/>
      <c r="AP75" s="3965"/>
      <c r="AQ75" s="3965"/>
      <c r="AR75" s="3965"/>
      <c r="AS75" s="3965"/>
      <c r="AT75" s="3965"/>
      <c r="AU75" s="3965"/>
      <c r="AV75" s="3965"/>
      <c r="AW75" s="3965"/>
      <c r="AX75" s="3965"/>
      <c r="AY75" s="3965"/>
      <c r="AZ75" s="3965"/>
      <c r="BA75" s="3965"/>
      <c r="BB75" s="3965"/>
      <c r="BC75" s="3965"/>
      <c r="BD75" s="3965"/>
      <c r="BE75" s="3965"/>
      <c r="BF75" s="3965"/>
      <c r="BG75" s="3965"/>
      <c r="BH75" s="3965"/>
      <c r="BI75" s="3965"/>
      <c r="BJ75" s="3965"/>
      <c r="BK75" s="3965"/>
      <c r="BL75" s="3965"/>
      <c r="BM75" s="3965"/>
      <c r="BN75" s="3965"/>
      <c r="BO75" s="3965"/>
      <c r="BP75" s="3965"/>
      <c r="BQ75" s="3965"/>
      <c r="BR75" s="3965"/>
      <c r="BS75" s="3965"/>
      <c r="BT75" s="3965"/>
      <c r="BU75" s="3965"/>
      <c r="BV75" s="3965"/>
      <c r="BW75" s="3965"/>
      <c r="BX75" s="3965"/>
      <c r="BY75" s="3965"/>
      <c r="BZ75" s="3965"/>
      <c r="CA75" s="3965"/>
      <c r="CB75" s="3965"/>
      <c r="CC75" s="3965"/>
      <c r="CD75" s="3965"/>
      <c r="CE75" s="3965"/>
      <c r="CF75" s="3965"/>
      <c r="CG75" s="3965"/>
      <c r="CH75" s="3965"/>
      <c r="CI75" s="3965"/>
      <c r="CJ75" s="3965"/>
      <c r="CK75" s="3965"/>
      <c r="CL75" s="3965"/>
      <c r="CM75" s="3965"/>
      <c r="CN75" s="3965"/>
      <c r="CO75" s="6528"/>
      <c r="CP75" s="1389"/>
      <c r="CQ75" s="1389"/>
      <c r="CS75" s="854"/>
      <c r="CT75" s="854" t="str">
        <f>IF(T75="","",T75)</f>
        <v>Добавить централизованную систему для дифференциации</v>
      </c>
      <c r="CU75" s="854"/>
      <c r="CV75" s="854"/>
      <c r="CW75" s="583">
        <v>1</v>
      </c>
    </row>
    <row s="5305" customFormat="1" customHeight="1" ht="1.05">
      <c r="A76" s="1408" t="s">
        <v>166</v>
      </c>
      <c r="B76" s="1408"/>
      <c r="C76" s="1408"/>
      <c r="D76" s="1408"/>
      <c r="E76" s="2323"/>
      <c r="F76" s="1408"/>
      <c r="G76" s="1408"/>
      <c r="H76" s="1408"/>
      <c r="I76" s="1408"/>
      <c r="J76" s="1408"/>
      <c r="K76" s="1408"/>
      <c r="L76" s="1411"/>
      <c r="M76" s="1386"/>
      <c r="N76" s="1386"/>
      <c r="O76" s="583"/>
      <c r="P76" s="445"/>
      <c r="Q76" s="1409"/>
      <c r="R76" s="445"/>
      <c r="S76" s="1387"/>
      <c r="T76" s="1390" t="s">
        <v>172</v>
      </c>
      <c r="U76" s="1389"/>
      <c r="V76" s="1389"/>
      <c r="W76" s="1389"/>
      <c r="X76" s="1389"/>
      <c r="Y76" s="1389"/>
      <c r="Z76" s="1389"/>
      <c r="AA76" s="1389"/>
      <c r="AB76" s="1389"/>
      <c r="AC76" s="1389"/>
      <c r="AD76" s="1389"/>
      <c r="AE76" s="1389"/>
      <c r="AF76" s="1389"/>
      <c r="AG76" s="1389"/>
      <c r="AH76" s="1389"/>
      <c r="AI76" s="1389"/>
      <c r="AJ76" s="1389"/>
      <c r="AK76" s="1389"/>
      <c r="AL76" s="3965"/>
      <c r="AM76" s="3965"/>
      <c r="AN76" s="3965"/>
      <c r="AO76" s="3965"/>
      <c r="AP76" s="3965"/>
      <c r="AQ76" s="3965"/>
      <c r="AR76" s="3965"/>
      <c r="AS76" s="3965"/>
      <c r="AT76" s="3965"/>
      <c r="AU76" s="3965"/>
      <c r="AV76" s="3965"/>
      <c r="AW76" s="3965"/>
      <c r="AX76" s="3965"/>
      <c r="AY76" s="3965"/>
      <c r="AZ76" s="3965"/>
      <c r="BA76" s="3965"/>
      <c r="BB76" s="3965"/>
      <c r="BC76" s="3965"/>
      <c r="BD76" s="3965"/>
      <c r="BE76" s="3965"/>
      <c r="BF76" s="3965"/>
      <c r="BG76" s="3965"/>
      <c r="BH76" s="3965"/>
      <c r="BI76" s="3965"/>
      <c r="BJ76" s="3965"/>
      <c r="BK76" s="3965"/>
      <c r="BL76" s="3965"/>
      <c r="BM76" s="3965"/>
      <c r="BN76" s="3965"/>
      <c r="BO76" s="3965"/>
      <c r="BP76" s="3965"/>
      <c r="BQ76" s="3965"/>
      <c r="BR76" s="3965"/>
      <c r="BS76" s="3965"/>
      <c r="BT76" s="3965"/>
      <c r="BU76" s="3965"/>
      <c r="BV76" s="3965"/>
      <c r="BW76" s="3965"/>
      <c r="BX76" s="3965"/>
      <c r="BY76" s="3965"/>
      <c r="BZ76" s="3965"/>
      <c r="CA76" s="3965"/>
      <c r="CB76" s="3965"/>
      <c r="CC76" s="3965"/>
      <c r="CD76" s="3965"/>
      <c r="CE76" s="3965"/>
      <c r="CF76" s="3965"/>
      <c r="CG76" s="3965"/>
      <c r="CH76" s="3965"/>
      <c r="CI76" s="3965"/>
      <c r="CJ76" s="3965"/>
      <c r="CK76" s="3965"/>
      <c r="CL76" s="3965"/>
      <c r="CM76" s="3965"/>
      <c r="CN76" s="3965"/>
      <c r="CO76" s="6528"/>
      <c r="CP76" s="1389"/>
      <c r="CQ76" s="1389"/>
      <c r="CS76" s="565"/>
      <c r="CT76" s="565" t="str">
        <f>IF(T76="","",T76)</f>
        <v>Добавить территорию для дифференциации</v>
      </c>
      <c r="CU76" s="565"/>
      <c r="CV76" s="565"/>
      <c r="CW76" s="576">
        <v>1</v>
      </c>
    </row>
    <row s="5305" customFormat="1" customHeight="1" ht="1.05">
      <c r="A77" s="1379"/>
      <c r="B77" s="1379"/>
      <c r="C77" s="1379"/>
      <c r="D77" s="1379"/>
      <c r="E77" s="1408"/>
      <c r="F77" s="1379"/>
      <c r="G77" s="1379"/>
      <c r="H77" s="1379"/>
      <c r="I77" s="1379"/>
      <c r="J77" s="1379"/>
      <c r="K77" s="1379"/>
      <c r="L77" s="1404"/>
      <c r="M77" s="1386"/>
      <c r="N77" s="1386"/>
      <c r="P77" s="1381"/>
      <c r="Q77" s="1382"/>
      <c r="R77" s="1381"/>
      <c r="S77" s="1387"/>
      <c r="T77" s="1390" t="s">
        <v>173</v>
      </c>
      <c r="U77" s="1389"/>
      <c r="V77" s="1389"/>
      <c r="W77" s="1389"/>
      <c r="X77" s="1389"/>
      <c r="Y77" s="1389"/>
      <c r="Z77" s="1389"/>
      <c r="AA77" s="1389"/>
      <c r="AB77" s="1389"/>
      <c r="AC77" s="1389"/>
      <c r="AD77" s="1389"/>
      <c r="AE77" s="1389"/>
      <c r="AF77" s="1389"/>
      <c r="AG77" s="1389"/>
      <c r="AH77" s="1389"/>
      <c r="AI77" s="1389"/>
      <c r="AJ77" s="1389"/>
      <c r="AK77" s="1389"/>
      <c r="AL77" s="3965"/>
      <c r="AM77" s="3965"/>
      <c r="AN77" s="3965"/>
      <c r="AO77" s="3965"/>
      <c r="AP77" s="3965"/>
      <c r="AQ77" s="3965"/>
      <c r="AR77" s="3965"/>
      <c r="AS77" s="3965"/>
      <c r="AT77" s="3965"/>
      <c r="AU77" s="3965"/>
      <c r="AV77" s="3965"/>
      <c r="AW77" s="3965"/>
      <c r="AX77" s="3965"/>
      <c r="AY77" s="3965"/>
      <c r="AZ77" s="3965"/>
      <c r="BA77" s="3965"/>
      <c r="BB77" s="3965"/>
      <c r="BC77" s="3965"/>
      <c r="BD77" s="3965"/>
      <c r="BE77" s="3965"/>
      <c r="BF77" s="3965"/>
      <c r="BG77" s="3965"/>
      <c r="BH77" s="3965"/>
      <c r="BI77" s="3965"/>
      <c r="BJ77" s="3965"/>
      <c r="BK77" s="3965"/>
      <c r="BL77" s="3965"/>
      <c r="BM77" s="3965"/>
      <c r="BN77" s="3965"/>
      <c r="BO77" s="3965"/>
      <c r="BP77" s="3965"/>
      <c r="BQ77" s="3965"/>
      <c r="BR77" s="3965"/>
      <c r="BS77" s="3965"/>
      <c r="BT77" s="3965"/>
      <c r="BU77" s="3965"/>
      <c r="BV77" s="3965"/>
      <c r="BW77" s="3965"/>
      <c r="BX77" s="3965"/>
      <c r="BY77" s="3965"/>
      <c r="BZ77" s="3965"/>
      <c r="CA77" s="3965"/>
      <c r="CB77" s="3965"/>
      <c r="CC77" s="3965"/>
      <c r="CD77" s="3965"/>
      <c r="CE77" s="3965"/>
      <c r="CF77" s="3965"/>
      <c r="CG77" s="3965"/>
      <c r="CH77" s="3965"/>
      <c r="CI77" s="3965"/>
      <c r="CJ77" s="3965"/>
      <c r="CK77" s="3965"/>
      <c r="CL77" s="3965"/>
      <c r="CM77" s="3965"/>
      <c r="CN77" s="3965"/>
      <c r="CO77" s="6528"/>
      <c r="CP77" s="1389"/>
      <c r="CQ77" s="1389"/>
      <c r="CS77" s="854"/>
      <c r="CT77" s="854" t="str">
        <f>IF(T77="","",T77)</f>
        <v>Добавить наименование тарифа</v>
      </c>
      <c r="CU77" s="854"/>
      <c r="CV77" s="854"/>
      <c r="CW77" s="583">
        <v>1</v>
      </c>
    </row>
    <row customHeight="1" ht="11.549999999999999">
      <c r="M78" s="1225"/>
      <c r="N78" s="1225"/>
      <c r="O78" s="602"/>
      <c r="P78" s="1220"/>
      <c r="Q78" s="1220"/>
      <c r="R78" s="1220"/>
      <c r="S78" s="1220"/>
      <c r="AL78" s="3779"/>
      <c r="AM78" s="3779"/>
      <c r="AN78" s="3779"/>
      <c r="AO78" s="3779"/>
      <c r="AP78" s="3779"/>
      <c r="AQ78" s="3779"/>
      <c r="AR78" s="3779"/>
      <c r="AS78" s="3779"/>
      <c r="AT78" s="3779"/>
      <c r="AU78" s="3779"/>
      <c r="AV78" s="3779"/>
      <c r="AW78" s="3779"/>
      <c r="AX78" s="3779"/>
      <c r="AY78" s="3779"/>
      <c r="AZ78" s="3779"/>
      <c r="BA78" s="3779"/>
      <c r="BB78" s="3779"/>
      <c r="BC78" s="3779"/>
      <c r="BD78" s="3779"/>
      <c r="BE78" s="3779"/>
      <c r="BF78" s="3779"/>
      <c r="BG78" s="3779"/>
      <c r="BH78" s="3779"/>
      <c r="BI78" s="3779"/>
      <c r="BJ78" s="3779"/>
      <c r="BK78" s="3779"/>
      <c r="BL78" s="3779"/>
      <c r="BM78" s="3779"/>
      <c r="BN78" s="3779"/>
      <c r="BO78" s="3779"/>
      <c r="BP78" s="3779"/>
      <c r="BQ78" s="3779"/>
      <c r="BR78" s="3779"/>
      <c r="BS78" s="3779"/>
      <c r="BT78" s="3779"/>
      <c r="BU78" s="3779"/>
      <c r="BV78" s="3779"/>
      <c r="BW78" s="3779"/>
      <c r="BX78" s="3779"/>
      <c r="BY78" s="3779"/>
      <c r="BZ78" s="3779"/>
      <c r="CA78" s="3779"/>
      <c r="CB78" s="3779"/>
      <c r="CC78" s="3779"/>
      <c r="CD78" s="3779"/>
      <c r="CE78" s="3779"/>
      <c r="CF78" s="3779"/>
      <c r="CG78" s="3779"/>
      <c r="CH78" s="3779"/>
      <c r="CI78" s="3779"/>
      <c r="CJ78" s="3779"/>
      <c r="CK78" s="3779"/>
      <c r="CL78" s="3779"/>
      <c r="CM78" s="3779"/>
      <c r="CN78" s="3779"/>
      <c r="CO78" s="6520"/>
      <c r="CR78" s="1220"/>
      <c r="CS78" s="1220"/>
      <c r="CT78" s="1220"/>
      <c r="CU78" s="1220"/>
      <c r="CV78" s="1220"/>
      <c r="CW78" s="1220">
        <v>11</v>
      </c>
    </row>
    <row customHeight="1" ht="28.5">
      <c r="O79" s="602"/>
      <c r="S79" s="1318"/>
      <c r="T79" s="2350"/>
      <c r="U79" s="2350"/>
      <c r="V79" s="2350"/>
      <c r="W79" s="2350"/>
      <c r="X79" s="2350"/>
      <c r="Y79" s="2350"/>
      <c r="Z79" s="2350"/>
      <c r="AA79" s="2350"/>
      <c r="AB79" s="2350"/>
      <c r="AC79" s="2350"/>
      <c r="AD79" s="2350"/>
      <c r="AE79" s="2350"/>
      <c r="AF79" s="2350"/>
      <c r="AG79" s="2350"/>
      <c r="AH79" s="2350"/>
      <c r="AI79" s="2350"/>
      <c r="AJ79" s="2350"/>
      <c r="AK79" s="2350"/>
      <c r="AL79" s="4586"/>
      <c r="AM79" s="4586"/>
      <c r="AN79" s="4586"/>
      <c r="AO79" s="4586"/>
      <c r="AP79" s="4586"/>
      <c r="AQ79" s="4586"/>
      <c r="AR79" s="4586"/>
      <c r="AS79" s="4586"/>
      <c r="AT79" s="4586"/>
      <c r="AU79" s="4586"/>
      <c r="AV79" s="4586"/>
      <c r="AW79" s="4586"/>
      <c r="AX79" s="4586"/>
      <c r="AY79" s="4586"/>
      <c r="AZ79" s="4586"/>
      <c r="BA79" s="4586"/>
      <c r="BB79" s="4586"/>
      <c r="BC79" s="4586"/>
      <c r="BD79" s="4586"/>
      <c r="BE79" s="4586"/>
      <c r="BF79" s="4586"/>
      <c r="BG79" s="4586"/>
      <c r="BH79" s="4586"/>
      <c r="BI79" s="4586"/>
      <c r="BJ79" s="4586"/>
      <c r="BK79" s="4586"/>
      <c r="BL79" s="4586"/>
      <c r="BM79" s="4586"/>
      <c r="BN79" s="4586"/>
      <c r="BO79" s="4586"/>
      <c r="BP79" s="4586"/>
      <c r="BQ79" s="4586"/>
      <c r="BR79" s="4586"/>
      <c r="BS79" s="4586"/>
      <c r="BT79" s="4586"/>
      <c r="BU79" s="4586"/>
      <c r="BV79" s="4586"/>
      <c r="BW79" s="4586"/>
      <c r="BX79" s="4586"/>
      <c r="BY79" s="4586"/>
      <c r="BZ79" s="4586"/>
      <c r="CA79" s="4586"/>
      <c r="CB79" s="4586"/>
      <c r="CC79" s="4586"/>
      <c r="CD79" s="4586"/>
      <c r="CE79" s="4586"/>
      <c r="CF79" s="4586"/>
      <c r="CG79" s="4586"/>
      <c r="CH79" s="4586"/>
      <c r="CI79" s="4586"/>
      <c r="CJ79" s="4586"/>
      <c r="CK79" s="4586"/>
      <c r="CL79" s="4586"/>
      <c r="CM79" s="4586"/>
      <c r="CN79" s="4586"/>
      <c r="CO79" s="6549"/>
      <c r="CP79" s="2350"/>
      <c r="CQ79" s="2350"/>
      <c r="CW79" s="1220">
        <v>27</v>
      </c>
    </row>
    <row customHeight="1" ht="65.25">
      <c r="O80" s="602"/>
      <c r="T80" s="2350"/>
      <c r="U80" s="2350"/>
      <c r="V80" s="2350"/>
      <c r="W80" s="2350"/>
      <c r="X80" s="2350"/>
      <c r="Y80" s="2350"/>
      <c r="Z80" s="2350"/>
      <c r="AA80" s="2350"/>
      <c r="AB80" s="2350"/>
      <c r="AC80" s="2350"/>
      <c r="AD80" s="2350"/>
      <c r="AE80" s="2350"/>
      <c r="AF80" s="2350"/>
      <c r="AG80" s="2350"/>
      <c r="AH80" s="2350"/>
      <c r="AI80" s="2350"/>
      <c r="AJ80" s="2350"/>
      <c r="AK80" s="2350"/>
      <c r="AL80" s="4586"/>
      <c r="AM80" s="4586"/>
      <c r="AN80" s="4586"/>
      <c r="AO80" s="4586"/>
      <c r="AP80" s="4586"/>
      <c r="AQ80" s="4586"/>
      <c r="AR80" s="4586"/>
      <c r="AS80" s="4586"/>
      <c r="AT80" s="4586"/>
      <c r="AU80" s="4586"/>
      <c r="AV80" s="4586"/>
      <c r="AW80" s="4586"/>
      <c r="AX80" s="4586"/>
      <c r="AY80" s="4586"/>
      <c r="AZ80" s="4586"/>
      <c r="BA80" s="4586"/>
      <c r="BB80" s="4586"/>
      <c r="BC80" s="4586"/>
      <c r="BD80" s="4586"/>
      <c r="BE80" s="4586"/>
      <c r="BF80" s="4586"/>
      <c r="BG80" s="4586"/>
      <c r="BH80" s="4586"/>
      <c r="BI80" s="4586"/>
      <c r="BJ80" s="4586"/>
      <c r="BK80" s="4586"/>
      <c r="BL80" s="4586"/>
      <c r="BM80" s="4586"/>
      <c r="BN80" s="4586"/>
      <c r="BO80" s="4586"/>
      <c r="BP80" s="4586"/>
      <c r="BQ80" s="4586"/>
      <c r="BR80" s="4586"/>
      <c r="BS80" s="4586"/>
      <c r="BT80" s="4586"/>
      <c r="BU80" s="4586"/>
      <c r="BV80" s="4586"/>
      <c r="BW80" s="4586"/>
      <c r="BX80" s="4586"/>
      <c r="BY80" s="4586"/>
      <c r="BZ80" s="4586"/>
      <c r="CA80" s="4586"/>
      <c r="CB80" s="4586"/>
      <c r="CC80" s="4586"/>
      <c r="CD80" s="4586"/>
      <c r="CE80" s="4586"/>
      <c r="CF80" s="4586"/>
      <c r="CG80" s="4586"/>
      <c r="CH80" s="4586"/>
      <c r="CI80" s="4586"/>
      <c r="CJ80" s="4586"/>
      <c r="CK80" s="4586"/>
      <c r="CL80" s="4586"/>
      <c r="CM80" s="4586"/>
      <c r="CN80" s="4586"/>
      <c r="CO80" s="6549"/>
      <c r="CP80" s="2350"/>
      <c r="CQ80" s="2350"/>
      <c r="CW80" s="1220">
        <v>62</v>
      </c>
    </row>
    <row customHeight="1" ht="14.699999999999998">
      <c r="O81" s="602"/>
      <c r="AL81" s="3779"/>
      <c r="AM81" s="3779"/>
      <c r="AN81" s="3779"/>
      <c r="AO81" s="3779"/>
      <c r="AP81" s="3779"/>
      <c r="AQ81" s="3779"/>
      <c r="AR81" s="3779"/>
      <c r="AS81" s="3779"/>
      <c r="AT81" s="3779"/>
      <c r="AU81" s="3779"/>
      <c r="AV81" s="3779"/>
      <c r="AW81" s="3779"/>
      <c r="AX81" s="3779"/>
      <c r="AY81" s="3779"/>
      <c r="AZ81" s="3779"/>
      <c r="BA81" s="3779"/>
      <c r="BB81" s="3779"/>
      <c r="BC81" s="3779"/>
      <c r="BD81" s="3779"/>
      <c r="BE81" s="3779"/>
      <c r="BF81" s="3779"/>
      <c r="BG81" s="3779"/>
      <c r="BH81" s="3779"/>
      <c r="BI81" s="3779"/>
      <c r="BJ81" s="3779"/>
      <c r="BK81" s="3779"/>
      <c r="BL81" s="3779"/>
      <c r="BM81" s="3779"/>
      <c r="BN81" s="3779"/>
      <c r="BO81" s="3779"/>
      <c r="BP81" s="3779"/>
      <c r="BQ81" s="3779"/>
      <c r="BR81" s="3779"/>
      <c r="BS81" s="3779"/>
      <c r="BT81" s="3779"/>
      <c r="BU81" s="3779"/>
      <c r="BV81" s="3779"/>
      <c r="BW81" s="3779"/>
      <c r="BX81" s="3779"/>
      <c r="BY81" s="3779"/>
      <c r="BZ81" s="3779"/>
      <c r="CA81" s="3779"/>
      <c r="CB81" s="3779"/>
      <c r="CC81" s="3779"/>
      <c r="CD81" s="3779"/>
      <c r="CE81" s="3779"/>
      <c r="CF81" s="3779"/>
      <c r="CG81" s="3779"/>
      <c r="CH81" s="3779"/>
      <c r="CI81" s="3779"/>
      <c r="CJ81" s="3779"/>
      <c r="CK81" s="3779"/>
      <c r="CL81" s="3779"/>
      <c r="CM81" s="3779"/>
      <c r="CN81" s="3779"/>
      <c r="CO81" s="6520"/>
      <c r="CW81" s="1220">
        <v>14</v>
      </c>
    </row>
    <row customHeight="1" ht="18.75">
      <c r="O82" s="602"/>
      <c r="S82" s="1318"/>
      <c r="T82" s="2350"/>
      <c r="U82" s="2350"/>
      <c r="V82" s="2350"/>
      <c r="W82" s="2350"/>
      <c r="X82" s="2350"/>
      <c r="Y82" s="2350"/>
      <c r="Z82" s="2350"/>
      <c r="AA82" s="2350"/>
      <c r="AB82" s="2350"/>
      <c r="AC82" s="2350"/>
      <c r="AD82" s="2350"/>
      <c r="AE82" s="2350"/>
      <c r="AF82" s="2350"/>
      <c r="AG82" s="2350"/>
      <c r="AH82" s="2350"/>
      <c r="AI82" s="2350"/>
      <c r="AJ82" s="2350"/>
      <c r="AK82" s="2350"/>
      <c r="AL82" s="4586"/>
      <c r="AM82" s="4586"/>
      <c r="AN82" s="4586"/>
      <c r="AO82" s="4586"/>
      <c r="AP82" s="4586"/>
      <c r="AQ82" s="4586"/>
      <c r="AR82" s="4586"/>
      <c r="AS82" s="4586"/>
      <c r="AT82" s="4586"/>
      <c r="AU82" s="4586"/>
      <c r="AV82" s="4586"/>
      <c r="AW82" s="4586"/>
      <c r="AX82" s="4586"/>
      <c r="AY82" s="4586"/>
      <c r="AZ82" s="4586"/>
      <c r="BA82" s="4586"/>
      <c r="BB82" s="4586"/>
      <c r="BC82" s="4586"/>
      <c r="BD82" s="4586"/>
      <c r="BE82" s="4586"/>
      <c r="BF82" s="4586"/>
      <c r="BG82" s="4586"/>
      <c r="BH82" s="4586"/>
      <c r="BI82" s="4586"/>
      <c r="BJ82" s="4586"/>
      <c r="BK82" s="4586"/>
      <c r="BL82" s="4586"/>
      <c r="BM82" s="4586"/>
      <c r="BN82" s="4586"/>
      <c r="BO82" s="4586"/>
      <c r="BP82" s="4586"/>
      <c r="BQ82" s="4586"/>
      <c r="BR82" s="4586"/>
      <c r="BS82" s="4586"/>
      <c r="BT82" s="4586"/>
      <c r="BU82" s="4586"/>
      <c r="BV82" s="4586"/>
      <c r="BW82" s="4586"/>
      <c r="BX82" s="4586"/>
      <c r="BY82" s="4586"/>
      <c r="BZ82" s="4586"/>
      <c r="CA82" s="4586"/>
      <c r="CB82" s="4586"/>
      <c r="CC82" s="4586"/>
      <c r="CD82" s="4586"/>
      <c r="CE82" s="4586"/>
      <c r="CF82" s="4586"/>
      <c r="CG82" s="4586"/>
      <c r="CH82" s="4586"/>
      <c r="CI82" s="4586"/>
      <c r="CJ82" s="4586"/>
      <c r="CK82" s="4586"/>
      <c r="CL82" s="4586"/>
      <c r="CM82" s="4586"/>
      <c r="CN82" s="4586"/>
      <c r="CO82" s="6549"/>
      <c r="CP82" s="2350"/>
      <c r="CQ82" s="2350"/>
      <c r="CW82" s="1220">
        <v>18</v>
      </c>
    </row>
    <row customHeight="1" ht="18.75">
      <c r="O83" s="602"/>
      <c r="T83" s="2350"/>
      <c r="U83" s="2350"/>
      <c r="V83" s="2350"/>
      <c r="W83" s="2350"/>
      <c r="X83" s="2350"/>
      <c r="Y83" s="2350"/>
      <c r="Z83" s="2350"/>
      <c r="AA83" s="2350"/>
      <c r="AB83" s="2350"/>
      <c r="AC83" s="2350"/>
      <c r="AD83" s="2350"/>
      <c r="AE83" s="2350"/>
      <c r="AF83" s="2350"/>
      <c r="AG83" s="2350"/>
      <c r="AH83" s="2350"/>
      <c r="AI83" s="2350"/>
      <c r="AJ83" s="2350"/>
      <c r="AK83" s="2350"/>
      <c r="AL83" s="4586"/>
      <c r="AM83" s="4586"/>
      <c r="AN83" s="4586"/>
      <c r="AO83" s="4586"/>
      <c r="AP83" s="4586"/>
      <c r="AQ83" s="4586"/>
      <c r="AR83" s="4586"/>
      <c r="AS83" s="4586"/>
      <c r="AT83" s="4586"/>
      <c r="AU83" s="4586"/>
      <c r="AV83" s="4586"/>
      <c r="AW83" s="4586"/>
      <c r="AX83" s="4586"/>
      <c r="AY83" s="4586"/>
      <c r="AZ83" s="4586"/>
      <c r="BA83" s="4586"/>
      <c r="BB83" s="4586"/>
      <c r="BC83" s="4586"/>
      <c r="BD83" s="4586"/>
      <c r="BE83" s="4586"/>
      <c r="BF83" s="4586"/>
      <c r="BG83" s="4586"/>
      <c r="BH83" s="4586"/>
      <c r="BI83" s="4586"/>
      <c r="BJ83" s="4586"/>
      <c r="BK83" s="4586"/>
      <c r="BL83" s="4586"/>
      <c r="BM83" s="4586"/>
      <c r="BN83" s="4586"/>
      <c r="BO83" s="4586"/>
      <c r="BP83" s="4586"/>
      <c r="BQ83" s="4586"/>
      <c r="BR83" s="4586"/>
      <c r="BS83" s="4586"/>
      <c r="BT83" s="4586"/>
      <c r="BU83" s="4586"/>
      <c r="BV83" s="4586"/>
      <c r="BW83" s="4586"/>
      <c r="BX83" s="4586"/>
      <c r="BY83" s="4586"/>
      <c r="BZ83" s="4586"/>
      <c r="CA83" s="4586"/>
      <c r="CB83" s="4586"/>
      <c r="CC83" s="4586"/>
      <c r="CD83" s="4586"/>
      <c r="CE83" s="4586"/>
      <c r="CF83" s="4586"/>
      <c r="CG83" s="4586"/>
      <c r="CH83" s="4586"/>
      <c r="CI83" s="4586"/>
      <c r="CJ83" s="4586"/>
      <c r="CK83" s="4586"/>
      <c r="CL83" s="4586"/>
      <c r="CM83" s="4586"/>
      <c r="CN83" s="4586"/>
      <c r="CO83" s="6549"/>
      <c r="CP83" s="2350"/>
      <c r="CQ83" s="2350"/>
      <c r="CW83" s="1220">
        <v>18</v>
      </c>
    </row>
    <row customHeight="1" ht="29.25">
      <c r="O84" s="602"/>
      <c r="S84" s="1318"/>
      <c r="T84" s="2350"/>
      <c r="U84" s="2350"/>
      <c r="V84" s="2350"/>
      <c r="W84" s="2350"/>
      <c r="X84" s="2350"/>
      <c r="Y84" s="2350"/>
      <c r="Z84" s="2350"/>
      <c r="AA84" s="2350"/>
      <c r="AB84" s="2350"/>
      <c r="AC84" s="2350"/>
      <c r="AD84" s="2350"/>
      <c r="AE84" s="2350"/>
      <c r="AF84" s="2350"/>
      <c r="AG84" s="2350"/>
      <c r="AH84" s="2350"/>
      <c r="AI84" s="2350"/>
      <c r="AJ84" s="2350"/>
      <c r="AK84" s="2350"/>
      <c r="AL84" s="4586"/>
      <c r="AM84" s="4586"/>
      <c r="AN84" s="4586"/>
      <c r="AO84" s="4586"/>
      <c r="AP84" s="4586"/>
      <c r="AQ84" s="4586"/>
      <c r="AR84" s="4586"/>
      <c r="AS84" s="4586"/>
      <c r="AT84" s="4586"/>
      <c r="AU84" s="4586"/>
      <c r="AV84" s="4586"/>
      <c r="AW84" s="4586"/>
      <c r="AX84" s="4586"/>
      <c r="AY84" s="4586"/>
      <c r="AZ84" s="4586"/>
      <c r="BA84" s="4586"/>
      <c r="BB84" s="4586"/>
      <c r="BC84" s="4586"/>
      <c r="BD84" s="4586"/>
      <c r="BE84" s="4586"/>
      <c r="BF84" s="4586"/>
      <c r="BG84" s="4586"/>
      <c r="BH84" s="4586"/>
      <c r="BI84" s="4586"/>
      <c r="BJ84" s="4586"/>
      <c r="BK84" s="4586"/>
      <c r="BL84" s="4586"/>
      <c r="BM84" s="4586"/>
      <c r="BN84" s="4586"/>
      <c r="BO84" s="4586"/>
      <c r="BP84" s="4586"/>
      <c r="BQ84" s="4586"/>
      <c r="BR84" s="4586"/>
      <c r="BS84" s="4586"/>
      <c r="BT84" s="4586"/>
      <c r="BU84" s="4586"/>
      <c r="BV84" s="4586"/>
      <c r="BW84" s="4586"/>
      <c r="BX84" s="4586"/>
      <c r="BY84" s="4586"/>
      <c r="BZ84" s="4586"/>
      <c r="CA84" s="4586"/>
      <c r="CB84" s="4586"/>
      <c r="CC84" s="4586"/>
      <c r="CD84" s="4586"/>
      <c r="CE84" s="4586"/>
      <c r="CF84" s="4586"/>
      <c r="CG84" s="4586"/>
      <c r="CH84" s="4586"/>
      <c r="CI84" s="4586"/>
      <c r="CJ84" s="4586"/>
      <c r="CK84" s="4586"/>
      <c r="CL84" s="4586"/>
      <c r="CM84" s="4586"/>
      <c r="CN84" s="4586"/>
      <c r="CO84" s="6549"/>
      <c r="CP84" s="2350"/>
      <c r="CQ84" s="2350"/>
      <c r="CW84" s="1220">
        <v>28</v>
      </c>
    </row>
    <row customHeight="1" ht="22.5" hidden="1">
      <c r="A85" s="1225" t="s">
        <v>85</v>
      </c>
      <c r="B85" s="1225">
        <v>0</v>
      </c>
      <c r="C85" s="1225">
        <v>0</v>
      </c>
      <c r="D85" s="1225">
        <v>0</v>
      </c>
      <c r="E85" s="1225">
        <v>0</v>
      </c>
      <c r="F85" s="1225">
        <v>0</v>
      </c>
      <c r="G85" s="1225">
        <v>0</v>
      </c>
      <c r="H85" s="1225">
        <v>0</v>
      </c>
      <c r="I85" s="1225">
        <v>0</v>
      </c>
      <c r="J85" s="1225">
        <v>0</v>
      </c>
      <c r="K85" s="1225">
        <v>0</v>
      </c>
      <c r="L85" s="1394">
        <v>0</v>
      </c>
      <c r="M85" s="1427">
        <v>0</v>
      </c>
      <c r="N85" s="1427">
        <v>0</v>
      </c>
      <c r="O85" s="1427">
        <v>0</v>
      </c>
      <c r="P85" s="1393">
        <v>3</v>
      </c>
      <c r="Q85" s="409">
        <v>3</v>
      </c>
      <c r="R85" s="409">
        <v>3</v>
      </c>
      <c r="S85" s="646">
        <v>12</v>
      </c>
      <c r="T85" s="1220">
        <v>31</v>
      </c>
      <c r="U85" s="1220">
        <v>0</v>
      </c>
      <c r="V85" s="1220">
        <v>0</v>
      </c>
      <c r="W85" s="1220">
        <v>0</v>
      </c>
      <c r="X85" s="1220">
        <v>0</v>
      </c>
      <c r="Y85" s="1220">
        <v>0</v>
      </c>
      <c r="Z85" s="1220">
        <v>0</v>
      </c>
      <c r="AA85" s="1220">
        <v>0</v>
      </c>
      <c r="AB85" s="1220">
        <v>0</v>
      </c>
      <c r="AC85" s="1220">
        <v>0</v>
      </c>
      <c r="AD85" s="1220">
        <v>24</v>
      </c>
      <c r="AE85" s="1220">
        <v>0</v>
      </c>
      <c r="AF85" s="1220">
        <v>24</v>
      </c>
      <c r="AG85" s="1220">
        <v>24</v>
      </c>
      <c r="AH85" s="1220">
        <v>11</v>
      </c>
      <c r="AI85" s="1220">
        <v>3</v>
      </c>
      <c r="AJ85" s="1220">
        <v>11</v>
      </c>
      <c r="AK85" s="1220">
        <v>0</v>
      </c>
      <c r="AL85" s="3779">
        <v>0</v>
      </c>
      <c r="AM85" s="3779">
        <v>0</v>
      </c>
      <c r="AN85" s="3779">
        <v>0</v>
      </c>
      <c r="AO85" s="3779">
        <v>0</v>
      </c>
      <c r="AP85" s="3779">
        <v>0</v>
      </c>
      <c r="AQ85" s="3779">
        <v>0</v>
      </c>
      <c r="AR85" s="3779">
        <v>0</v>
      </c>
      <c r="AS85" s="3779">
        <v>0</v>
      </c>
      <c r="AT85" s="3779">
        <v>0</v>
      </c>
      <c r="AU85" s="3779">
        <v>0</v>
      </c>
      <c r="AV85" s="3779">
        <v>0</v>
      </c>
      <c r="AW85" s="3779">
        <v>0</v>
      </c>
      <c r="AX85" s="3779">
        <v>0</v>
      </c>
      <c r="AY85" s="3779">
        <v>0</v>
      </c>
      <c r="AZ85" s="3779">
        <v>0</v>
      </c>
      <c r="BA85" s="3779">
        <v>0</v>
      </c>
      <c r="BB85" s="3779">
        <v>0</v>
      </c>
      <c r="BC85" s="3779">
        <v>0</v>
      </c>
      <c r="BD85" s="3779">
        <v>0</v>
      </c>
      <c r="BE85" s="3779">
        <v>0</v>
      </c>
      <c r="BF85" s="3779">
        <v>0</v>
      </c>
      <c r="BG85" s="3779">
        <v>0</v>
      </c>
      <c r="BH85" s="3779">
        <v>0</v>
      </c>
      <c r="BI85" s="3779">
        <v>0</v>
      </c>
      <c r="BJ85" s="3779">
        <v>0</v>
      </c>
      <c r="BK85" s="3779">
        <v>0</v>
      </c>
      <c r="BL85" s="3779">
        <v>0</v>
      </c>
      <c r="BM85" s="3779">
        <v>0</v>
      </c>
      <c r="BN85" s="3779">
        <v>0</v>
      </c>
      <c r="BO85" s="3779">
        <v>0</v>
      </c>
      <c r="BP85" s="3779">
        <v>0</v>
      </c>
      <c r="BQ85" s="3779">
        <v>0</v>
      </c>
      <c r="BR85" s="3779">
        <v>0</v>
      </c>
      <c r="BS85" s="3779">
        <v>0</v>
      </c>
      <c r="BT85" s="3779">
        <v>0</v>
      </c>
      <c r="BU85" s="3779">
        <v>0</v>
      </c>
      <c r="BV85" s="3779">
        <v>0</v>
      </c>
      <c r="BW85" s="3779">
        <v>0</v>
      </c>
      <c r="BX85" s="3779">
        <v>0</v>
      </c>
      <c r="BY85" s="3779">
        <v>0</v>
      </c>
      <c r="BZ85" s="3779">
        <v>0</v>
      </c>
      <c r="CA85" s="3779">
        <v>0</v>
      </c>
      <c r="CB85" s="3779">
        <v>0</v>
      </c>
      <c r="CC85" s="3779">
        <v>0</v>
      </c>
      <c r="CD85" s="3779">
        <v>0</v>
      </c>
      <c r="CE85" s="3779">
        <v>0</v>
      </c>
      <c r="CF85" s="3779">
        <v>0</v>
      </c>
      <c r="CG85" s="3779">
        <v>0</v>
      </c>
      <c r="CH85" s="3779">
        <v>0</v>
      </c>
      <c r="CI85" s="3779">
        <v>0</v>
      </c>
      <c r="CJ85" s="3779">
        <v>0</v>
      </c>
      <c r="CK85" s="3779">
        <v>0</v>
      </c>
      <c r="CL85" s="3779">
        <v>0</v>
      </c>
      <c r="CM85" s="3779">
        <v>0</v>
      </c>
      <c r="CN85" s="3779">
        <v>0</v>
      </c>
      <c r="CO85" s="6520">
        <v>0</v>
      </c>
      <c r="CP85" s="1220">
        <v>4</v>
      </c>
      <c r="CQ85" s="1220">
        <v>115</v>
      </c>
      <c r="CR85" s="576">
        <v>10</v>
      </c>
      <c r="CS85" s="576">
        <v>10</v>
      </c>
      <c r="CT85" s="576">
        <v>10</v>
      </c>
      <c r="CU85" s="576">
        <v>10</v>
      </c>
      <c r="CV85" s="576">
        <v>10</v>
      </c>
      <c r="CW85" s="1220">
        <v>23</v>
      </c>
    </row>
  </sheetData>
  <sheetProtection formatColumns="0" formatRows="0" autoFilter="0" sort="0" insertRows="0" insertColumns="1" deleteRows="0" deleteColumns="0"/>
  <mergeCells count="483">
    <mergeCell ref="T83:CQ83"/>
    <mergeCell ref="T84:CQ84"/>
    <mergeCell ref="T82:CQ82"/>
    <mergeCell ref="CQ49:CQ51"/>
    <mergeCell ref="T79:CQ79"/>
    <mergeCell ref="T80:CQ80"/>
    <mergeCell ref="J48:J51"/>
    <mergeCell ref="Q48:Q51"/>
    <mergeCell ref="V48:AC48"/>
    <mergeCell ref="AD48:CP48"/>
    <mergeCell ref="K49:K50"/>
    <mergeCell ref="AH49:AH50"/>
    <mergeCell ref="AI49:AI50"/>
    <mergeCell ref="AJ49:AJ50"/>
    <mergeCell ref="AK49:AK50"/>
    <mergeCell ref="E43:E76"/>
    <mergeCell ref="V43:AC43"/>
    <mergeCell ref="AD43:CP43"/>
    <mergeCell ref="F44:F75"/>
    <mergeCell ref="V44:AC44"/>
    <mergeCell ref="AD44:CP44"/>
    <mergeCell ref="G45:G74"/>
    <mergeCell ref="V45:AC45"/>
    <mergeCell ref="AD45:CP45"/>
    <mergeCell ref="H46:H73"/>
    <mergeCell ref="V46:AC46"/>
    <mergeCell ref="AD46:CP46"/>
    <mergeCell ref="I47:I72"/>
    <mergeCell ref="P47:P72"/>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Q53:CQ55"/>
    <mergeCell ref="AH53:AH54"/>
    <mergeCell ref="AI53:AI54"/>
    <mergeCell ref="AJ53:AJ54"/>
    <mergeCell ref="AK53:AK54"/>
    <mergeCell ref="V52:AC52"/>
    <mergeCell ref="AD52:CP52"/>
    <mergeCell ref="J52:J55"/>
    <mergeCell ref="Q52:Q55"/>
    <mergeCell ref="K53:K54"/>
    <mergeCell ref="CQ57:CQ59"/>
    <mergeCell ref="AH57:AH58"/>
    <mergeCell ref="AI57:AI58"/>
    <mergeCell ref="AJ57:AJ58"/>
    <mergeCell ref="AK57:AK58"/>
    <mergeCell ref="V56:AC56"/>
    <mergeCell ref="AD56:CP56"/>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 ref="CQ61:CQ63"/>
    <mergeCell ref="AH61:AH62"/>
    <mergeCell ref="AI61:AI62"/>
    <mergeCell ref="AJ61:AJ62"/>
    <mergeCell ref="AK61:AK62"/>
    <mergeCell ref="V60:AC60"/>
    <mergeCell ref="AD60:CP60"/>
    <mergeCell ref="J60:J63"/>
    <mergeCell ref="Q60:Q63"/>
    <mergeCell ref="K61:K62"/>
    <mergeCell ref="AP61:AP62"/>
    <mergeCell ref="AQ61:AQ62"/>
    <mergeCell ref="AR61:AR62"/>
    <mergeCell ref="AS61:AS62"/>
    <mergeCell ref="CQ65:CQ67"/>
    <mergeCell ref="AH65:AH66"/>
    <mergeCell ref="AI65:AI66"/>
    <mergeCell ref="AJ65:AJ66"/>
    <mergeCell ref="AK65:AK66"/>
    <mergeCell ref="V64:AC64"/>
    <mergeCell ref="AD64:CP64"/>
    <mergeCell ref="J64:J67"/>
    <mergeCell ref="Q64:Q67"/>
    <mergeCell ref="K65:K66"/>
    <mergeCell ref="AP65:AP66"/>
    <mergeCell ref="AQ65:AQ66"/>
    <mergeCell ref="AR65:AR66"/>
    <mergeCell ref="AS65:AS66"/>
    <mergeCell ref="CQ69:CQ71"/>
    <mergeCell ref="AH69:AH70"/>
    <mergeCell ref="AI69:AI70"/>
    <mergeCell ref="AJ69:AJ70"/>
    <mergeCell ref="AK69:AK70"/>
    <mergeCell ref="V68:AC68"/>
    <mergeCell ref="AD68:CP68"/>
    <mergeCell ref="J68:J71"/>
    <mergeCell ref="Q68:Q71"/>
    <mergeCell ref="K69:K70"/>
    <mergeCell ref="AP69:AP70"/>
    <mergeCell ref="AQ69:AQ70"/>
    <mergeCell ref="AR69:AR70"/>
    <mergeCell ref="AS69:AS7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57:AX58"/>
    <mergeCell ref="AY57:AY58"/>
    <mergeCell ref="AZ57:AZ58"/>
    <mergeCell ref="BA57:BA58"/>
    <mergeCell ref="AX61:AX62"/>
    <mergeCell ref="AY61:AY62"/>
    <mergeCell ref="AZ61:AZ62"/>
    <mergeCell ref="BA61:BA62"/>
    <mergeCell ref="AX65:AX66"/>
    <mergeCell ref="AY65:AY66"/>
    <mergeCell ref="AZ65:AZ66"/>
    <mergeCell ref="BA65:BA66"/>
    <mergeCell ref="AX69:AX70"/>
    <mergeCell ref="AY69:AY70"/>
    <mergeCell ref="AZ69:AZ70"/>
    <mergeCell ref="BA69:BA7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 ref="BF61:BF62"/>
    <mergeCell ref="BG61:BG62"/>
    <mergeCell ref="BH61:BH62"/>
    <mergeCell ref="BI61:BI62"/>
    <mergeCell ref="BF65:BF66"/>
    <mergeCell ref="BG65:BG66"/>
    <mergeCell ref="BH65:BH66"/>
    <mergeCell ref="BI65:BI66"/>
    <mergeCell ref="BF69:BF70"/>
    <mergeCell ref="BG69:BG70"/>
    <mergeCell ref="BH69:BH70"/>
    <mergeCell ref="BI69:BI7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N57:BN58"/>
    <mergeCell ref="BO57:BO58"/>
    <mergeCell ref="BP57:BP58"/>
    <mergeCell ref="BQ57:BQ58"/>
    <mergeCell ref="BN61:BN62"/>
    <mergeCell ref="BO61:BO62"/>
    <mergeCell ref="BP61:BP62"/>
    <mergeCell ref="BQ61:BQ62"/>
    <mergeCell ref="BN65:BN66"/>
    <mergeCell ref="BO65:BO66"/>
    <mergeCell ref="BP65:BP66"/>
    <mergeCell ref="BQ65:BQ66"/>
    <mergeCell ref="BN69:BN70"/>
    <mergeCell ref="BO69:BO70"/>
    <mergeCell ref="BP69:BP70"/>
    <mergeCell ref="BQ69:BQ7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V57:BV58"/>
    <mergeCell ref="BW57:BW58"/>
    <mergeCell ref="BX57:BX58"/>
    <mergeCell ref="BY57:BY58"/>
    <mergeCell ref="BV61:BV62"/>
    <mergeCell ref="BW61:BW62"/>
    <mergeCell ref="BX61:BX62"/>
    <mergeCell ref="BY61:BY62"/>
    <mergeCell ref="BV65:BV66"/>
    <mergeCell ref="BW65:BW66"/>
    <mergeCell ref="BX65:BX66"/>
    <mergeCell ref="BY65:BY66"/>
    <mergeCell ref="BV69:BV70"/>
    <mergeCell ref="BW69:BW70"/>
    <mergeCell ref="BX69:BX70"/>
    <mergeCell ref="BY69:BY7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D49:CD50"/>
    <mergeCell ref="CE49:CE50"/>
    <mergeCell ref="CF49:CF50"/>
    <mergeCell ref="CG49:CG50"/>
    <mergeCell ref="CL49:CL50"/>
    <mergeCell ref="CM49:CM50"/>
    <mergeCell ref="CN49:CN50"/>
    <mergeCell ref="CO49:CO50"/>
    <mergeCell ref="Z49:Z50"/>
    <mergeCell ref="AA49:AA50"/>
    <mergeCell ref="AB49:AB50"/>
    <mergeCell ref="AC49:AC50"/>
    <mergeCell ref="CD53:CD54"/>
    <mergeCell ref="CE53:CE54"/>
    <mergeCell ref="CF53:CF54"/>
    <mergeCell ref="CG53:CG54"/>
    <mergeCell ref="CL53:CL54"/>
    <mergeCell ref="CM53:CM54"/>
    <mergeCell ref="CN53:CN54"/>
    <mergeCell ref="CO53:CO54"/>
    <mergeCell ref="Z53:Z54"/>
    <mergeCell ref="AA53:AA54"/>
    <mergeCell ref="AB53:AB54"/>
    <mergeCell ref="AC53:AC54"/>
    <mergeCell ref="CD57:CD58"/>
    <mergeCell ref="CE57:CE58"/>
    <mergeCell ref="CF57:CF58"/>
    <mergeCell ref="CG57:CG58"/>
    <mergeCell ref="CL57:CL58"/>
    <mergeCell ref="CM57:CM58"/>
    <mergeCell ref="CN57:CN58"/>
    <mergeCell ref="CO57:CO58"/>
    <mergeCell ref="Z57:Z58"/>
    <mergeCell ref="AA57:AA58"/>
    <mergeCell ref="AB57:AB58"/>
    <mergeCell ref="AC57:AC58"/>
    <mergeCell ref="CD61:CD62"/>
    <mergeCell ref="CE61:CE62"/>
    <mergeCell ref="CF61:CF62"/>
    <mergeCell ref="CG61:CG62"/>
    <mergeCell ref="CL61:CL62"/>
    <mergeCell ref="CM61:CM62"/>
    <mergeCell ref="CN61:CN62"/>
    <mergeCell ref="CO61:CO62"/>
    <mergeCell ref="Z61:Z62"/>
    <mergeCell ref="AA61:AA62"/>
    <mergeCell ref="AB61:AB62"/>
    <mergeCell ref="AC61:AC62"/>
    <mergeCell ref="CD65:CD66"/>
    <mergeCell ref="CE65:CE66"/>
    <mergeCell ref="CF65:CF66"/>
    <mergeCell ref="CG65:CG66"/>
    <mergeCell ref="CL65:CL66"/>
    <mergeCell ref="CM65:CM66"/>
    <mergeCell ref="CN65:CN66"/>
    <mergeCell ref="CO65:CO66"/>
    <mergeCell ref="Z65:Z66"/>
    <mergeCell ref="AA65:AA66"/>
    <mergeCell ref="AB65:AB66"/>
    <mergeCell ref="AC65:AC66"/>
    <mergeCell ref="CD69:CD70"/>
    <mergeCell ref="CE69:CE70"/>
    <mergeCell ref="CF69:CF70"/>
    <mergeCell ref="CG69:CG70"/>
    <mergeCell ref="CL69:CL70"/>
    <mergeCell ref="CM69:CM70"/>
    <mergeCell ref="CN69:CN70"/>
    <mergeCell ref="CO69:CO70"/>
    <mergeCell ref="Z69:Z70"/>
    <mergeCell ref="AA69:AA70"/>
    <mergeCell ref="AB69:AB70"/>
    <mergeCell ref="AC69:AC70"/>
  </mergeCells>
  <dataValidations count="8">
    <dataValidation type="list" allowBlank="1" showInputMessage="1" errorTitle="Ошибка" error="Выберите значение из списка" prompt="Выберите значение из списка" sqref="V983108:CP983108 V65604:CP65604 V131140:CP131140 V196676:CP196676 V262212:CP262212 V327748:CP327748 V393284:CP393284 V458820:CP458820 V524356:CP524356 V589892:CP589892 V655428:CP655428 V720964:CP720964 V786500:CP786500 V852036:CP852036 V917572:CP917572">
      <formula1>kind_of_cons</formula1>
    </dataValidation>
    <dataValidation allowBlank="1" sqref="S131143:CQ131149 S196679:CQ196685 S262215:CQ262221 S327751:CQ327757 S393287:CQ393293 S458823:CQ458829 S524359:CQ524365 S589895:CQ589901 S655431:CQ655437 S720967:CQ720973 S786503:CQ786509 S852039:CQ852045 S917575:CQ917581 S983111:CQ983117 S65607:CQ65613"/>
    <dataValidation type="list" allowBlank="1" showInputMessage="1" showErrorMessage="1" errorTitle="Ошибка" error="Выберите значение из списка" sqref="V983107:W983107 V65603:W65603 V131139:W131139 V196675:W196675 V262211:W262211 V327747:W327747 V393283:W393283 V458819:W458819 V524355:W524355 V589891:W589891 V655427:W655427 V720963:W720963 V786499:W786499 V852035:W852035 V917571:W917571 AD983107:AE983107 AD65603:AE65603 AD131139:AE131139 AD196675:AE196675 AD262211:AE262211 AD327747:AE327747 AD393283:AE393283 AD458819:AE458819 AD524355:AE524355 AD589891:AE589891 AD655427:AE655427 AD720963:AE720963 AD786499:AE786499 AD852035:AE852035 AD917571:AE917571">
      <formula1>kind_of_scheme_in</formula1>
    </dataValidation>
    <dataValidation type="textLength" operator="lessThanOrEqual" allowBlank="1" showInputMessage="1" showErrorMessage="1" errorTitle="Ошибка" error="Допускается ввод не более 900 символов!" sqref="CQ65599:CQ65606 CQ131135:CQ131142 CQ196671:CQ196678 CQ262207:CQ262214 CQ327743:CQ327750 CQ393279:CQ393286 CQ458815:CQ458822 CQ524351:CQ524358 CQ589887:CQ589894 CQ655423:CQ655430 CQ720959:CQ720966 CQ786495:CQ786502 CQ852031:CQ852038 CQ917567:CQ917574 CQ983103:CQ983110">
      <formula1>900</formula1>
    </dataValidation>
    <dataValidation type="list" allowBlank="1" showInputMessage="1" showErrorMessage="1" errorTitle="Ошибка" error="Выберите значение из списка" sqref="T65605 T131141 T196677 T262213 T327749 T393285 T458821 T524357 T589893 T655429 T720965 T786501 T852037 T917573 T98310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5 Z131141 Z196677 Z262213 Z327749 Z393285 Z458821 Z524357 Z589893 Z655429 Z720965 Z786501 Z852037 Z917573 Z983109 AB65605 AB131141 AB196677 AB262213 AB327749 AB393285 AB458821 AB524357 AB589893 AB655429 AB720965 AB786501 AB852037 AB917573 AB983109 Z8 AH65605 AH131141 AH196677 AH262213 AH327749 AH393285 AH458821 AH524357 AH589893 AH655429 AH720965 AH786501 AH852037 AH917573 AH983109 AJ65605 AJ131141 AJ196677 AJ262213 AJ327749 AJ393285 AJ458821 AJ524357 AJ589893 AJ655429 AJ720965 AJ786501 AJ852037 AJ917573 AJ983109 AJ49 AH49 AH8 AJ8 AB8 AH17 AJ17 Z49 AB49 Z53 AB53 AH53 AJ53 Z57 AB57 AH57 AJ57 AP8 AR8 AP49 AR49 AP53 AR53 AP57 AR57 Z61 AB61 AH61 AJ61 AP61 AR61 Z65 AB65 AH65 AJ65 AP65 AR65 Z69 AB69 AH69 AJ69 AP69 AR69 AX8 AZ8 AX49 AZ49 AX53 AZ53 AX57 AZ57 AX61 AZ61 AX65 AZ65 AX69 AZ69 BF8 BH8 BF49 BH49 BF53 BH53 BF57 BH57 BF61 BH61 BF65 BH65 BF69 BH69 BN8 BP8 BN49 BP49 BN53 BP53 BN57 BP57 BN61 BP61 BN65 BP65 BN69 BP69 BV8 BX8 BV49 BX49 BV53 BX53 BV57 BX57 BV61 BX61 BV65 BX65 BV69 BX69 CD8 CF8 CD49 CF49 CD53 CF53 CD57 CF57 CD61 CF61 CD65 CF65 CD69 CF69 CL8 CN8 CL49 CN49 CL53 CN53 CL57 CN57 CL61 CN61 CL65 CN65 CL69 CN69"/>
    <dataValidation allowBlank="1" showInputMessage="1" showErrorMessage="1" prompt="Для выбора выполните двойной щелчок левой клавиши мыши по соответствующей ячейке." sqref="AA65605 AA131141 AA196677 AA262213 AA327749 AA393285 AA458821 AA524357 AA589893 AA655429 AA720965 AA786501 AA852037 AA917573 AA983109 AC131141 AC458821 AC196677 AC262213 AC327749 AC393285 AC524357 AC589893 AC655429 AC720965 AC786501 AC852037 AC917573 AC983109 AC65605 AI65605 AI131141 AI196677 AI262213 AI327749 AI393285 AI458821 AI524357 AI589893 AI655429 AI720965 AI786501 AI852037 AI917573 AI983109 AK327749:CO327749 AK393285:CO393285 AK49 AQ49 AS49 AY49 BA49 BG49 BI49 BO49 BQ49 BW49 BY49 CE49 CG49 CM49 CO49 AK524357:CO524357 AK8 AQ8 AS8 AY8 BA8 BG8 BI8 BO8 BQ8 BW8 BY8 CE8 CG8 CM8 CO8 AK589893:CO589893 AK655429:CO655429 AK17 AK720965:CO720965 AK786501:CO786501 AK852037:CO852037 AK917573:CO917573 AK983109:CO983109 AK65605:CO65605 AK131141:CO131141 AI49 AK458821:CO458821 AI8 AC8 AA8 AI17 AK196677:CO196677 AA49 AC49 AK262213:CO262213 AA53 AC53 AI53 AK53 AQ53 AS53 AY53 BA53 BG53 BI53 BO53 BQ53 BW53 BY53 CE53 CG53 CM53 CO53 AA57 AC57 AI57 AK57 AQ57 AS57 AY57 BA57 BG57 BI57 BO57 BQ57 BW57 BY57 CE57 CG57 CM57 CO57 AA61 AC61 AI61 AK61 AQ61 AS61 AY61 BA61 BG61 BI61 BO61 BQ61 BW61 BY61 CE61 CG61 CM61 CO61 AA65 AC65 AI65 AK65 AQ65 AS65 AY65 BA65 BG65 BI65 BO65 BQ65 BW65 BY65 CE65 CG65 CM65 CO65 AA69 AC69 AI69 AK69 AQ69 AS69 AY69 BA69 BG69 BI69 BO69 BQ69 BW69 BY69 CE69 CG69 CM69 CO69"/>
    <dataValidation allowBlank="1" promptTitle="checkPeriodRange" sqref="Y65606 Y131142 Y196678 Y262214 Y327750 Y393286 Y458822 Y524358 Y589894 Y655430 Y720966 Y786502 Y852038 Y917574 Y983110 Y9 AG65606 AG131142 AG196678 AG262214 AG327750 AG393286 AG458822 AG524358 AG589894 AG655430 AG720966 AG786502 AG852038 AG917574 AG983110 AG9 AG50 AG18 Y50 Y54 AG54 Y58 AG58 AO9 AO50 AO54 AO58 Y62 AG62 AO62 Y66 AG66 AO66 Y70 AG70 AO70 AW9 AW50 AW54 AW58 AW62 AW66 AW70 BE9 BE50 BE54 BE58 BE62 BE66 BE70 BM9 BM50 BM54 BM58 BM62 BM66 BM70 BU9 BU50 BU54 BU58 BU62 BU66 BU70 CC9 CC50 CC54 CC58 CC62 CC66 CC70 CK9 CK50 CK54 CK58 CK62 CK66 CK7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35F2-23A3-615B-EFDC-0.4B71B5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796" width="10.57421875" hidden="1"/>
    <col min="2" max="2" style="5796" width="11.00390625" hidden="1" customWidth="1"/>
    <col min="3" max="3" style="5796" width="10.57421875" hidden="1"/>
    <col min="4" max="4" style="5796" width="11.8515625" hidden="1" customWidth="1"/>
    <col min="5" max="5" style="5796" width="10.00390625" hidden="1" customWidth="1"/>
    <col min="6" max="6" style="5796" width="8.7109375" hidden="1" customWidth="1"/>
    <col min="7" max="7" style="5796" width="7.57421875" hidden="1" customWidth="1"/>
    <col min="8" max="8" style="5796" width="11.421875" hidden="1" customWidth="1"/>
    <col min="9" max="9" style="5796" width="12.00390625" hidden="1" customWidth="1"/>
    <col min="10" max="10" style="5796" width="9.8515625" hidden="1" customWidth="1"/>
    <col min="11" max="11" style="5796" width="11.421875" hidden="1" customWidth="1"/>
    <col min="12" max="12" style="6460" width="19.140625" hidden="1" customWidth="1"/>
    <col min="13" max="14" style="6479" width="12.28125" hidden="1" customWidth="1"/>
    <col min="15" max="15" style="6479" width="23.421875" hidden="1" customWidth="1"/>
    <col min="16" max="16" style="6479" width="3.00390625"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409</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411</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412</v>
      </c>
      <c r="M6" s="1700"/>
      <c r="P6" s="2322">
        <v>1</v>
      </c>
      <c r="Q6" s="2019"/>
      <c r="R6" s="421"/>
      <c r="S6" s="2023">
        <f>$I6</f>
      </c>
      <c r="T6" s="350" t="s">
        <v>413</v>
      </c>
      <c r="U6" s="365"/>
      <c r="V6" s="2310"/>
      <c r="W6" s="2311"/>
      <c r="X6" s="2311"/>
      <c r="Y6" s="2311"/>
      <c r="Z6" s="2311"/>
      <c r="AA6" s="2311"/>
      <c r="AB6" s="2311"/>
      <c r="AC6" s="2312"/>
      <c r="AD6" s="2310"/>
      <c r="AE6" s="2311"/>
      <c r="AF6" s="2311"/>
      <c r="AG6" s="2311"/>
      <c r="AH6" s="2311"/>
      <c r="AI6" s="2311"/>
      <c r="AJ6" s="2311"/>
      <c r="AK6" s="2311"/>
      <c r="AL6" s="2312"/>
      <c r="AM6" s="1323" t="s">
        <v>414</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415</v>
      </c>
      <c r="M7" s="1700"/>
      <c r="N7" s="1696"/>
      <c r="P7" s="2322"/>
      <c r="Q7" s="2322">
        <v>1</v>
      </c>
      <c r="R7" s="422"/>
      <c r="S7" s="2023">
        <f>$J7</f>
      </c>
      <c r="T7" s="351" t="s">
        <v>416</v>
      </c>
      <c r="U7" s="365"/>
      <c r="V7" s="2310"/>
      <c r="W7" s="2311"/>
      <c r="X7" s="2311"/>
      <c r="Y7" s="2311"/>
      <c r="Z7" s="2311"/>
      <c r="AA7" s="2311"/>
      <c r="AB7" s="2311"/>
      <c r="AC7" s="2312"/>
      <c r="AD7" s="2310"/>
      <c r="AE7" s="2311"/>
      <c r="AF7" s="2311"/>
      <c r="AG7" s="2311"/>
      <c r="AH7" s="2311"/>
      <c r="AI7" s="2311"/>
      <c r="AJ7" s="2311"/>
      <c r="AK7" s="2311"/>
      <c r="AL7" s="2312"/>
      <c r="AM7" s="1323" t="s">
        <v>417</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418</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419</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420</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421</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422</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5305"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5305"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5305"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5745" customFormat="1" customHeight="1" ht="14.25" hidden="1">
      <c r="A20" s="1696"/>
      <c r="B20" s="1696"/>
      <c r="C20" s="1696"/>
      <c r="D20" s="1696"/>
      <c r="E20" s="1696"/>
      <c r="F20" s="1696"/>
      <c r="G20" s="1696"/>
      <c r="H20" s="1696"/>
      <c r="I20" s="1696"/>
      <c r="J20" s="1696"/>
      <c r="K20" s="1696"/>
      <c r="L20" s="2004"/>
      <c r="M20" s="2030"/>
      <c r="N20" s="2030"/>
      <c r="O20" s="1410" t="s">
        <v>423</v>
      </c>
      <c r="P20" s="1427"/>
      <c r="Q20" s="1436"/>
      <c r="R20" s="1436"/>
      <c r="S20" s="794"/>
      <c r="Z20" s="1432"/>
      <c r="AB20" s="1432"/>
      <c r="AH20" s="1432"/>
      <c r="AJ20" s="1432"/>
      <c r="AN20" s="1701"/>
      <c r="AO20" s="1701"/>
      <c r="AP20" s="1701"/>
      <c r="AQ20" s="1701"/>
      <c r="AR20" s="1701"/>
      <c r="AS20" s="1431">
        <v>0</v>
      </c>
    </row>
    <row s="5745"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5745" customFormat="1" customHeight="1" ht="14.25" hidden="1">
      <c r="A22" s="1696"/>
      <c r="B22" s="1696"/>
      <c r="C22" s="1696"/>
      <c r="D22" s="1696"/>
      <c r="E22" s="1696"/>
      <c r="F22" s="1696"/>
      <c r="G22" s="1696"/>
      <c r="H22" s="1696"/>
      <c r="I22" s="1696"/>
      <c r="J22" s="1696"/>
      <c r="K22" s="1696"/>
      <c r="L22" s="2004"/>
      <c r="M22" s="2030"/>
      <c r="N22" s="2030"/>
      <c r="O22" s="1375" t="s">
        <v>424</v>
      </c>
      <c r="P22" s="1427"/>
      <c r="Q22" s="1436"/>
      <c r="R22" s="1436"/>
      <c r="S22" s="794"/>
      <c r="T22" s="1431" t="s">
        <v>425</v>
      </c>
      <c r="AA22" s="660" t="s">
        <v>426</v>
      </c>
      <c r="AC22" s="660" t="s">
        <v>427</v>
      </c>
      <c r="AD22" s="1431" t="s">
        <v>425</v>
      </c>
      <c r="AI22" s="660" t="s">
        <v>428</v>
      </c>
      <c r="AK22" s="660" t="s">
        <v>427</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6339"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УГРЦТ НАО</v>
      </c>
      <c r="W29" s="2316"/>
      <c r="X29" s="2316"/>
      <c r="Y29" s="2316"/>
      <c r="Z29" s="2316"/>
      <c r="AA29" s="2316"/>
      <c r="AB29" s="2316"/>
      <c r="AC29" s="1700"/>
      <c r="AD29" s="2316" t="str">
        <f>IF(TITLE_NAME_OR_PR_CHANGE="",IF(TITLE_NAME_OR_PR="","",TITLE_NAME_OR_PR),TITLE_NAME_OR_PR_CHANGE)</f>
        <v>УГРЦТ НАО</v>
      </c>
      <c r="AE29" s="2316"/>
      <c r="AF29" s="2316"/>
      <c r="AG29" s="2316"/>
      <c r="AH29" s="2316"/>
      <c r="AI29" s="2316"/>
      <c r="AJ29" s="2316"/>
      <c r="AK29" s="1700"/>
      <c r="AL29" s="1700"/>
      <c r="AM29" s="345"/>
      <c r="AN29" s="433"/>
      <c r="AO29" s="433"/>
      <c r="AP29" s="433"/>
      <c r="AQ29" s="433"/>
      <c r="AR29" s="433"/>
      <c r="AS29" s="483">
        <v>0</v>
      </c>
    </row>
    <row s="6339" customFormat="1" customHeight="1" ht="18.75" hidden="1">
      <c r="A30" s="1313"/>
      <c r="B30" s="1313"/>
      <c r="C30" s="1313"/>
      <c r="D30" s="1313"/>
      <c r="E30" s="1313"/>
      <c r="F30" s="1313"/>
      <c r="G30" s="1313"/>
      <c r="H30" s="1313"/>
      <c r="I30" s="1313"/>
      <c r="J30" s="1313"/>
      <c r="K30" s="1313"/>
      <c r="L30" s="1445"/>
      <c r="M30" s="1313"/>
      <c r="N30" s="1313"/>
      <c r="O30" s="1313"/>
      <c r="S30" s="2315" t="s">
        <v>429</v>
      </c>
      <c r="T30" s="2315"/>
      <c r="U30" s="1437"/>
      <c r="V30" s="2329" t="str">
        <f>IF(TITLE_DATE_PR_CHANGE="",IF(TITLE_DATE_PR="","",TITLE_DATE_PR),TITLE_DATE_PR_CHANGE)</f>
        <v>46008.55446759259</v>
      </c>
      <c r="W30" s="2329"/>
      <c r="X30" s="2329"/>
      <c r="Y30" s="2329"/>
      <c r="Z30" s="2329"/>
      <c r="AA30" s="2329"/>
      <c r="AB30" s="2329"/>
      <c r="AC30" s="1700"/>
      <c r="AD30" s="2329" t="str">
        <f>IF(TITLE_DATE_PR_CHANGE="",IF(TITLE_DATE_PR="","",TITLE_DATE_PR),TITLE_DATE_PR_CHANGE)</f>
        <v>46008.55446759259</v>
      </c>
      <c r="AE30" s="2329"/>
      <c r="AF30" s="2329"/>
      <c r="AG30" s="2329"/>
      <c r="AH30" s="2329"/>
      <c r="AI30" s="2329"/>
      <c r="AJ30" s="2329"/>
      <c r="AK30" s="1700"/>
      <c r="AL30" s="1700"/>
      <c r="AM30" s="345"/>
      <c r="AN30" s="433"/>
      <c r="AO30" s="433"/>
      <c r="AP30" s="433"/>
      <c r="AQ30" s="433"/>
      <c r="AR30" s="433"/>
      <c r="AS30" s="483">
        <v>0</v>
      </c>
    </row>
    <row s="6339" customFormat="1" customHeight="1" ht="18.75" hidden="1">
      <c r="A31" s="1313"/>
      <c r="B31" s="1313"/>
      <c r="C31" s="1313"/>
      <c r="D31" s="1313"/>
      <c r="E31" s="1313"/>
      <c r="F31" s="1313"/>
      <c r="G31" s="1313"/>
      <c r="H31" s="1313"/>
      <c r="I31" s="1313"/>
      <c r="J31" s="1313"/>
      <c r="K31" s="1313"/>
      <c r="L31" s="1445"/>
      <c r="M31" s="1313"/>
      <c r="N31" s="1313"/>
      <c r="O31" s="1313"/>
      <c r="S31" s="2315" t="s">
        <v>430</v>
      </c>
      <c r="T31" s="2315"/>
      <c r="U31" s="1437"/>
      <c r="V31" s="2316" t="str">
        <f>IF(TITLE_NUMBER_PR_CHANGE="",IF(TITLE_NUMBER_PR="","",TITLE_NUMBER_PR),TITLE_NUMBER_PR_CHANGE)</f>
        <v>57</v>
      </c>
      <c r="W31" s="2316"/>
      <c r="X31" s="2316"/>
      <c r="Y31" s="2316"/>
      <c r="Z31" s="2316"/>
      <c r="AA31" s="2316"/>
      <c r="AB31" s="2316"/>
      <c r="AC31" s="1700"/>
      <c r="AD31" s="2316" t="str">
        <f>IF(TITLE_NUMBER_PR_CHANGE="",IF(TITLE_NUMBER_PR="","",TITLE_NUMBER_PR),TITLE_NUMBER_PR_CHANGE)</f>
        <v>57</v>
      </c>
      <c r="AE31" s="2316"/>
      <c r="AF31" s="2316"/>
      <c r="AG31" s="2316"/>
      <c r="AH31" s="2316"/>
      <c r="AI31" s="2316"/>
      <c r="AJ31" s="2316"/>
      <c r="AK31" s="1700"/>
      <c r="AL31" s="1700"/>
      <c r="AM31" s="345"/>
      <c r="AN31" s="433"/>
      <c r="AO31" s="433"/>
      <c r="AP31" s="433"/>
      <c r="AQ31" s="433"/>
      <c r="AR31" s="433"/>
      <c r="AS31" s="483">
        <v>0</v>
      </c>
    </row>
    <row s="6339"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http://pravo.gov.ru</v>
      </c>
      <c r="W32" s="2316"/>
      <c r="X32" s="2316"/>
      <c r="Y32" s="2316"/>
      <c r="Z32" s="2316"/>
      <c r="AA32" s="2316"/>
      <c r="AB32" s="2316"/>
      <c r="AC32" s="1700"/>
      <c r="AD32" s="2316" t="str">
        <f>IF(TITLE_IST_PUB_CHANGE="",IF(TITLE_IST_PUB="","",TITLE_IST_PUB),TITLE_IST_PUB_CHANGE)</f>
        <v>http://pravo.gov.ru</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6339" customFormat="1" customHeight="1" ht="18.75" hidden="1">
      <c r="A34" s="1313"/>
      <c r="B34" s="1313"/>
      <c r="C34" s="1313"/>
      <c r="D34" s="1313"/>
      <c r="E34" s="1313"/>
      <c r="F34" s="1313"/>
      <c r="G34" s="1313"/>
      <c r="H34" s="1313"/>
      <c r="I34" s="1313"/>
      <c r="J34" s="1313"/>
      <c r="K34" s="1313"/>
      <c r="L34" s="1445"/>
      <c r="M34" s="1313"/>
      <c r="N34" s="1313"/>
      <c r="O34" s="1313"/>
      <c r="S34" s="2315" t="s">
        <v>431</v>
      </c>
      <c r="T34" s="2315"/>
      <c r="U34" s="1437"/>
      <c r="V34" s="2329" t="str">
        <f>IF(TITLE_DATE_PR_CHANGE="",IF(TITLE_DATE_PR="","",TITLE_DATE_PR),TITLE_DATE_PR_CHANGE)</f>
        <v>46008.55446759259</v>
      </c>
      <c r="W34" s="2329"/>
      <c r="X34" s="2329"/>
      <c r="Y34" s="2329"/>
      <c r="Z34" s="2329"/>
      <c r="AA34" s="2329"/>
      <c r="AB34" s="2329"/>
      <c r="AC34" s="1700"/>
      <c r="AD34" s="2329" t="str">
        <f>IF(TITLE_DATE_PR_CHANGE="",IF(TITLE_DATE_PR="","",TITLE_DATE_PR),TITLE_DATE_PR_CHANGE)</f>
        <v>46008.55446759259</v>
      </c>
      <c r="AE34" s="2329"/>
      <c r="AF34" s="2329"/>
      <c r="AG34" s="2329"/>
      <c r="AH34" s="2329"/>
      <c r="AI34" s="2329"/>
      <c r="AJ34" s="2329"/>
      <c r="AK34" s="1700"/>
      <c r="AL34" s="1700"/>
      <c r="AM34" s="345"/>
      <c r="AN34" s="433"/>
      <c r="AO34" s="433"/>
      <c r="AP34" s="433"/>
      <c r="AQ34" s="433"/>
      <c r="AR34" s="433"/>
      <c r="AS34" s="483">
        <v>0</v>
      </c>
    </row>
    <row s="6339" customFormat="1" customHeight="1" ht="18.75" hidden="1">
      <c r="A35" s="1313"/>
      <c r="B35" s="1313"/>
      <c r="C35" s="1313"/>
      <c r="D35" s="1313"/>
      <c r="E35" s="1313"/>
      <c r="F35" s="1313"/>
      <c r="G35" s="1313"/>
      <c r="H35" s="1313"/>
      <c r="I35" s="1313"/>
      <c r="J35" s="1313"/>
      <c r="K35" s="1313"/>
      <c r="L35" s="1445"/>
      <c r="M35" s="1313"/>
      <c r="N35" s="1313"/>
      <c r="O35" s="1313"/>
      <c r="S35" s="2315" t="s">
        <v>432</v>
      </c>
      <c r="T35" s="2315"/>
      <c r="U35" s="1437"/>
      <c r="V35" s="2316" t="str">
        <f>IF(TITLE_NUMBER_PR_CHANGE="",IF(TITLE_NUMBER_PR="","",TITLE_NUMBER_PR),TITLE_NUMBER_PR_CHANGE)</f>
        <v>57</v>
      </c>
      <c r="W35" s="2316"/>
      <c r="X35" s="2316"/>
      <c r="Y35" s="2316"/>
      <c r="Z35" s="2316"/>
      <c r="AA35" s="2316"/>
      <c r="AB35" s="2316"/>
      <c r="AC35" s="1700"/>
      <c r="AD35" s="2316" t="str">
        <f>IF(TITLE_NUMBER_PR_CHANGE="",IF(TITLE_NUMBER_PR="","",TITLE_NUMBER_PR),TITLE_NUMBER_PR_CHANGE)</f>
        <v>57</v>
      </c>
      <c r="AE35" s="2316"/>
      <c r="AF35" s="2316"/>
      <c r="AG35" s="2316"/>
      <c r="AH35" s="2316"/>
      <c r="AI35" s="2316"/>
      <c r="AJ35" s="2316"/>
      <c r="AK35" s="1700"/>
      <c r="AL35" s="1700"/>
      <c r="AM35" s="345"/>
      <c r="AN35" s="433"/>
      <c r="AO35" s="433"/>
      <c r="AP35" s="433"/>
      <c r="AQ35" s="433"/>
      <c r="AR35" s="433"/>
      <c r="AS35" s="483">
        <v>0</v>
      </c>
    </row>
    <row s="6339"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433</v>
      </c>
      <c r="AD36" s="1700"/>
      <c r="AE36" s="1700"/>
      <c r="AF36" s="1700"/>
      <c r="AG36" s="1700"/>
      <c r="AH36" s="1700"/>
      <c r="AI36" s="1700"/>
      <c r="AJ36" s="1700"/>
      <c r="AK36" s="1707" t="s">
        <v>433</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696">
        <v>14</v>
      </c>
    </row>
    <row customHeight="1" ht="14.699999999999998">
      <c r="Q39" s="441"/>
      <c r="R39" s="441"/>
      <c r="S39" s="2338" t="s">
        <v>91</v>
      </c>
      <c r="T39" s="2274" t="s">
        <v>434</v>
      </c>
      <c r="U39" s="402"/>
      <c r="V39" s="2339" t="s">
        <v>435</v>
      </c>
      <c r="W39" s="2340"/>
      <c r="X39" s="2340"/>
      <c r="Y39" s="2340"/>
      <c r="Z39" s="2340"/>
      <c r="AA39" s="2340"/>
      <c r="AB39" s="2341"/>
      <c r="AC39" s="2342" t="s">
        <v>436</v>
      </c>
      <c r="AD39" s="2339" t="s">
        <v>435</v>
      </c>
      <c r="AE39" s="2340"/>
      <c r="AF39" s="2340"/>
      <c r="AG39" s="2340"/>
      <c r="AH39" s="2340"/>
      <c r="AI39" s="2340"/>
      <c r="AJ39" s="2341"/>
      <c r="AK39" s="2342" t="s">
        <v>437</v>
      </c>
      <c r="AL39" s="2345" t="s">
        <v>438</v>
      </c>
      <c r="AM39" s="2192"/>
      <c r="AS39" s="1696">
        <v>14</v>
      </c>
    </row>
    <row customHeight="1" ht="35.699999999999996">
      <c r="Q40" s="441"/>
      <c r="R40" s="441"/>
      <c r="S40" s="2338"/>
      <c r="T40" s="2274"/>
      <c r="U40" s="1096"/>
      <c r="V40" s="2325" t="s">
        <v>439</v>
      </c>
      <c r="W40" s="2348" t="s">
        <v>440</v>
      </c>
      <c r="X40" s="2327" t="s">
        <v>441</v>
      </c>
      <c r="Y40" s="2328"/>
      <c r="Z40" s="2327" t="s">
        <v>455</v>
      </c>
      <c r="AA40" s="2334"/>
      <c r="AB40" s="2328"/>
      <c r="AC40" s="2343"/>
      <c r="AD40" s="2325" t="s">
        <v>439</v>
      </c>
      <c r="AE40" s="2348" t="s">
        <v>440</v>
      </c>
      <c r="AF40" s="2327" t="s">
        <v>441</v>
      </c>
      <c r="AG40" s="2328"/>
      <c r="AH40" s="2327" t="s">
        <v>442</v>
      </c>
      <c r="AI40" s="2334"/>
      <c r="AJ40" s="2328"/>
      <c r="AK40" s="2343"/>
      <c r="AL40" s="2346"/>
      <c r="AM40" s="2192"/>
      <c r="AS40" s="1696">
        <v>34</v>
      </c>
    </row>
    <row customHeight="1" ht="35.699999999999996">
      <c r="A41" s="1331"/>
      <c r="B41" s="1331" t="s">
        <v>138</v>
      </c>
      <c r="C41" s="1331" t="s">
        <v>139</v>
      </c>
      <c r="D41" s="1331" t="s">
        <v>140</v>
      </c>
      <c r="E41" s="1375" t="s">
        <v>443</v>
      </c>
      <c r="F41" s="1375" t="s">
        <v>444</v>
      </c>
      <c r="G41" s="1375" t="s">
        <v>445</v>
      </c>
      <c r="H41" s="1375" t="s">
        <v>446</v>
      </c>
      <c r="I41" s="1375" t="s">
        <v>447</v>
      </c>
      <c r="J41" s="1375" t="s">
        <v>448</v>
      </c>
      <c r="K41" s="1375" t="s">
        <v>449</v>
      </c>
      <c r="L41" s="1375" t="s">
        <v>424</v>
      </c>
      <c r="Q41" s="441"/>
      <c r="R41" s="441"/>
      <c r="S41" s="2338"/>
      <c r="T41" s="2274"/>
      <c r="U41" s="367"/>
      <c r="V41" s="2326"/>
      <c r="W41" s="2349"/>
      <c r="X41" s="2003" t="s">
        <v>450</v>
      </c>
      <c r="Y41" s="2003" t="s">
        <v>451</v>
      </c>
      <c r="Z41" s="2003" t="s">
        <v>452</v>
      </c>
      <c r="AA41" s="2335" t="s">
        <v>453</v>
      </c>
      <c r="AB41" s="2336"/>
      <c r="AC41" s="2344"/>
      <c r="AD41" s="2326"/>
      <c r="AE41" s="2349"/>
      <c r="AF41" s="2003" t="s">
        <v>450</v>
      </c>
      <c r="AG41" s="2003" t="s">
        <v>451</v>
      </c>
      <c r="AH41" s="2003" t="s">
        <v>452</v>
      </c>
      <c r="AI41" s="2335" t="s">
        <v>453</v>
      </c>
      <c r="AJ41" s="2336"/>
      <c r="AK41" s="2344"/>
      <c r="AL41" s="2347"/>
      <c r="AM41" s="2192"/>
      <c r="AS41" s="1696">
        <v>34</v>
      </c>
    </row>
    <row s="4600"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221</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221</v>
      </c>
      <c r="B44" s="1332" t="s">
        <v>222</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1689"/>
      <c r="AP44" s="1689" t="str">
        <f>IF(T44="","",T44)</f>
        <v>Территория действия тарифа</v>
      </c>
      <c r="AQ44" s="1689"/>
      <c r="AR44" s="1689"/>
      <c r="AS44" s="1696">
        <v>21</v>
      </c>
    </row>
    <row customHeight="1" ht="24">
      <c r="A45" s="1332" t="s">
        <v>221</v>
      </c>
      <c r="B45" s="1332" t="s">
        <v>222</v>
      </c>
      <c r="C45" s="1332" t="s">
        <v>223</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1689"/>
      <c r="AP45" s="1689" t="str">
        <f>IF(T45="","",T45)</f>
        <v>Наименование системы теплоснабжения </v>
      </c>
      <c r="AQ45" s="1689"/>
      <c r="AR45" s="1689"/>
      <c r="AS45" s="1696">
        <v>23</v>
      </c>
    </row>
    <row customHeight="1" ht="22.049999999999997">
      <c r="A46" s="1332" t="s">
        <v>221</v>
      </c>
      <c r="B46" s="1332" t="s">
        <v>222</v>
      </c>
      <c r="C46" s="1332" t="s">
        <v>223</v>
      </c>
      <c r="D46" s="1332" t="s">
        <v>224</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1689"/>
      <c r="AP46" s="1689" t="str">
        <f>IF(T46="","",T46)</f>
        <v>Источник тепловой энергии  </v>
      </c>
      <c r="AQ46" s="1689"/>
      <c r="AR46" s="1689"/>
      <c r="AS46" s="1696">
        <v>21</v>
      </c>
    </row>
    <row customHeight="1" ht="49.5">
      <c r="A47" s="1332" t="s">
        <v>221</v>
      </c>
      <c r="B47" s="1332" t="s">
        <v>222</v>
      </c>
      <c r="C47" s="1332" t="s">
        <v>223</v>
      </c>
      <c r="D47" s="1332" t="s">
        <v>224</v>
      </c>
      <c r="E47" s="2355"/>
      <c r="F47" s="2355"/>
      <c r="G47" s="2355"/>
      <c r="H47" s="2355"/>
      <c r="I47" s="2192" t="str">
        <f>S46&amp;".1"</f>
        <v>....1</v>
      </c>
      <c r="J47" s="1332"/>
      <c r="K47" s="1332"/>
      <c r="L47" s="1375" t="s">
        <v>412</v>
      </c>
      <c r="P47" s="2322">
        <v>1</v>
      </c>
      <c r="Q47" s="2019"/>
      <c r="R47" s="421"/>
      <c r="S47" s="2023" t="str">
        <f>$I47</f>
        <v>....1</v>
      </c>
      <c r="T47" s="350" t="s">
        <v>413</v>
      </c>
      <c r="U47" s="365"/>
      <c r="V47" s="2310"/>
      <c r="W47" s="2311"/>
      <c r="X47" s="2311"/>
      <c r="Y47" s="2311"/>
      <c r="Z47" s="2311"/>
      <c r="AA47" s="2311"/>
      <c r="AB47" s="2311"/>
      <c r="AC47" s="2312"/>
      <c r="AD47" s="2310"/>
      <c r="AE47" s="2311"/>
      <c r="AF47" s="2311"/>
      <c r="AG47" s="2311"/>
      <c r="AH47" s="2311"/>
      <c r="AI47" s="2311"/>
      <c r="AJ47" s="2311"/>
      <c r="AK47" s="2311"/>
      <c r="AL47" s="2312"/>
      <c r="AM47" s="1323" t="s">
        <v>414</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221</v>
      </c>
      <c r="B48" s="1332" t="s">
        <v>222</v>
      </c>
      <c r="C48" s="1332" t="s">
        <v>223</v>
      </c>
      <c r="D48" s="1332" t="s">
        <v>224</v>
      </c>
      <c r="E48" s="2355"/>
      <c r="F48" s="2355"/>
      <c r="G48" s="2355"/>
      <c r="H48" s="2355"/>
      <c r="I48" s="2166"/>
      <c r="J48" s="2192" t="str">
        <f>I47&amp;".1"</f>
        <v>....1.1</v>
      </c>
      <c r="K48" s="1332"/>
      <c r="L48" s="1375" t="s">
        <v>415</v>
      </c>
      <c r="P48" s="2322"/>
      <c r="Q48" s="2322">
        <v>1</v>
      </c>
      <c r="R48" s="422"/>
      <c r="S48" s="2023" t="str">
        <f>$J48</f>
        <v>....1.1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1689"/>
      <c r="AP48" s="1689" t="str">
        <f>IF(T48="","",T48)</f>
        <v>Группа потребителей</v>
      </c>
      <c r="AQ48" s="1689"/>
      <c r="AR48" s="1689"/>
      <c r="AS48" s="1696">
        <v>21</v>
      </c>
    </row>
    <row customHeight="1" ht="22.049999999999997">
      <c r="A49" s="1332" t="s">
        <v>221</v>
      </c>
      <c r="B49" s="1332" t="s">
        <v>222</v>
      </c>
      <c r="C49" s="1332" t="s">
        <v>223</v>
      </c>
      <c r="D49" s="1332" t="s">
        <v>224</v>
      </c>
      <c r="E49" s="2355"/>
      <c r="F49" s="2355"/>
      <c r="G49" s="2355"/>
      <c r="H49" s="2355"/>
      <c r="I49" s="2166"/>
      <c r="J49" s="2166"/>
      <c r="K49" s="2192" t="str">
        <f>J48&amp;".1"</f>
        <v>....1.1.1</v>
      </c>
      <c r="L49" s="1375" t="s">
        <v>418</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419</v>
      </c>
      <c r="AN49" s="1701">
        <f>STRCHECKDATE(V50:AL50)</f>
      </c>
      <c r="AO49" s="1689"/>
      <c r="AP49" s="1689" t="str">
        <f>IF(T49="","",T49)</f>
        <v/>
      </c>
      <c r="AQ49" s="1689"/>
      <c r="AR49" s="1689"/>
      <c r="AS49" s="1696">
        <v>21</v>
      </c>
    </row>
    <row customHeight="1" ht="1.05">
      <c r="A50" s="1332" t="s">
        <v>221</v>
      </c>
      <c r="B50" s="1332" t="s">
        <v>222</v>
      </c>
      <c r="C50" s="1332" t="s">
        <v>223</v>
      </c>
      <c r="D50" s="1332" t="s">
        <v>224</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221</v>
      </c>
      <c r="B51" s="1332" t="s">
        <v>222</v>
      </c>
      <c r="C51" s="1332" t="s">
        <v>223</v>
      </c>
      <c r="D51" s="1332" t="s">
        <v>224</v>
      </c>
      <c r="E51" s="2355"/>
      <c r="F51" s="2355"/>
      <c r="G51" s="2355"/>
      <c r="H51" s="2355"/>
      <c r="I51" s="2166"/>
      <c r="J51" s="2192"/>
      <c r="K51" s="1332"/>
      <c r="L51" s="1375"/>
      <c r="P51" s="2322"/>
      <c r="Q51" s="2322"/>
      <c r="R51" s="421"/>
      <c r="S51" s="1343"/>
      <c r="T51" s="353" t="s">
        <v>420</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221</v>
      </c>
      <c r="B52" s="1332" t="s">
        <v>222</v>
      </c>
      <c r="C52" s="1332" t="s">
        <v>223</v>
      </c>
      <c r="D52" s="1332" t="s">
        <v>224</v>
      </c>
      <c r="E52" s="2355"/>
      <c r="F52" s="2355"/>
      <c r="G52" s="2355"/>
      <c r="H52" s="2355"/>
      <c r="I52" s="2192"/>
      <c r="J52" s="1332"/>
      <c r="K52" s="1332"/>
      <c r="L52" s="1375"/>
      <c r="P52" s="2322"/>
      <c r="Q52" s="2019"/>
      <c r="R52" s="421"/>
      <c r="S52" s="1343"/>
      <c r="T52" s="352" t="s">
        <v>421</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221</v>
      </c>
      <c r="B53" s="1332" t="s">
        <v>222</v>
      </c>
      <c r="C53" s="1332" t="s">
        <v>223</v>
      </c>
      <c r="D53" s="1332" t="s">
        <v>224</v>
      </c>
      <c r="E53" s="2355"/>
      <c r="F53" s="2355"/>
      <c r="G53" s="2355"/>
      <c r="H53" s="2354"/>
      <c r="I53" s="1332"/>
      <c r="J53" s="1332"/>
      <c r="K53" s="1332"/>
      <c r="L53" s="1375"/>
      <c r="M53" s="1675"/>
      <c r="N53" s="1675"/>
      <c r="O53" s="1700"/>
      <c r="P53" s="425"/>
      <c r="Q53" s="440"/>
      <c r="R53" s="420"/>
      <c r="S53" s="1343"/>
      <c r="T53" s="430" t="s">
        <v>422</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5305" customFormat="1" customHeight="1" ht="4.2">
      <c r="A54" s="1440" t="s">
        <v>221</v>
      </c>
      <c r="B54" s="1440" t="s">
        <v>222</v>
      </c>
      <c r="C54" s="1440" t="s">
        <v>223</v>
      </c>
      <c r="D54" s="1439"/>
      <c r="E54" s="2355"/>
      <c r="F54" s="2355"/>
      <c r="G54" s="2354"/>
      <c r="H54" s="1439"/>
      <c r="I54" s="1439"/>
      <c r="J54" s="1439"/>
      <c r="K54" s="1439"/>
      <c r="L54" s="1442"/>
      <c r="M54" s="1443"/>
      <c r="N54" s="1443"/>
      <c r="O54" s="416"/>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5305" customFormat="1" customHeight="1" ht="4.2">
      <c r="A55" s="1440" t="s">
        <v>221</v>
      </c>
      <c r="B55" s="1440" t="s">
        <v>222</v>
      </c>
      <c r="C55" s="1439"/>
      <c r="D55" s="1439"/>
      <c r="E55" s="2355"/>
      <c r="F55" s="2354"/>
      <c r="G55" s="1439"/>
      <c r="H55" s="1439"/>
      <c r="I55" s="1439"/>
      <c r="J55" s="1439"/>
      <c r="K55" s="1439"/>
      <c r="L55" s="1442"/>
      <c r="M55" s="1444"/>
      <c r="N55" s="1444"/>
      <c r="O55" s="416"/>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5305" customFormat="1" customHeight="1" ht="4.2">
      <c r="A56" s="1440" t="s">
        <v>221</v>
      </c>
      <c r="B56" s="1440"/>
      <c r="C56" s="1440"/>
      <c r="D56" s="1440"/>
      <c r="E56" s="2354"/>
      <c r="F56" s="1440"/>
      <c r="G56" s="1440"/>
      <c r="H56" s="1440"/>
      <c r="I56" s="1440"/>
      <c r="J56" s="1440"/>
      <c r="K56" s="1440"/>
      <c r="L56" s="1446"/>
      <c r="M56" s="1444"/>
      <c r="N56" s="1444"/>
      <c r="O56" s="416"/>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5305"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0A8DB-60F4-D19F-CC35-0.EB02CF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796" width="10.57421875" hidden="1"/>
    <col min="2" max="2" style="5796" width="11.00390625" hidden="1" customWidth="1"/>
    <col min="3" max="3" style="5796" width="10.57421875" hidden="1"/>
    <col min="4" max="4" style="5796" width="11.8515625" hidden="1" customWidth="1"/>
    <col min="5" max="5" style="5796" width="10.00390625" hidden="1" customWidth="1"/>
    <col min="6" max="6" style="5796" width="8.7109375" hidden="1" customWidth="1"/>
    <col min="7" max="7" style="5796" width="7.57421875" hidden="1" customWidth="1"/>
    <col min="8" max="8" style="5796" width="11.421875" hidden="1" customWidth="1"/>
    <col min="9" max="9" style="5796" width="12.00390625" hidden="1" customWidth="1"/>
    <col min="10" max="10" style="5796" width="9.8515625" hidden="1" customWidth="1"/>
    <col min="11" max="11" style="5796" width="11.421875" hidden="1" customWidth="1"/>
    <col min="12" max="12" style="6460" width="19.140625" hidden="1" customWidth="1"/>
    <col min="13" max="14" style="6479" width="12.28125" hidden="1" customWidth="1"/>
    <col min="15" max="15" style="6479" width="23.421875" hidden="1" customWidth="1"/>
    <col min="16" max="16" style="6479" width="3.00390625"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409</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411</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412</v>
      </c>
      <c r="M6" s="1700"/>
      <c r="P6" s="2322">
        <v>1</v>
      </c>
      <c r="Q6" s="2019"/>
      <c r="R6" s="421"/>
      <c r="S6" s="2023">
        <f>$I6</f>
      </c>
      <c r="T6" s="350" t="s">
        <v>413</v>
      </c>
      <c r="U6" s="365"/>
      <c r="V6" s="2310"/>
      <c r="W6" s="2311"/>
      <c r="X6" s="2311"/>
      <c r="Y6" s="2311"/>
      <c r="Z6" s="2311"/>
      <c r="AA6" s="2311"/>
      <c r="AB6" s="2311"/>
      <c r="AC6" s="2312"/>
      <c r="AD6" s="2310"/>
      <c r="AE6" s="2311"/>
      <c r="AF6" s="2311"/>
      <c r="AG6" s="2311"/>
      <c r="AH6" s="2311"/>
      <c r="AI6" s="2311"/>
      <c r="AJ6" s="2311"/>
      <c r="AK6" s="2311"/>
      <c r="AL6" s="2312"/>
      <c r="AM6" s="1323" t="s">
        <v>414</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415</v>
      </c>
      <c r="M7" s="1700"/>
      <c r="N7" s="1696"/>
      <c r="P7" s="2322"/>
      <c r="Q7" s="2322">
        <v>1</v>
      </c>
      <c r="R7" s="422"/>
      <c r="S7" s="2023">
        <f>$J7</f>
      </c>
      <c r="T7" s="351" t="s">
        <v>416</v>
      </c>
      <c r="U7" s="365"/>
      <c r="V7" s="2310"/>
      <c r="W7" s="2311"/>
      <c r="X7" s="2311"/>
      <c r="Y7" s="2311"/>
      <c r="Z7" s="2311"/>
      <c r="AA7" s="2311"/>
      <c r="AB7" s="2311"/>
      <c r="AC7" s="2312"/>
      <c r="AD7" s="2310"/>
      <c r="AE7" s="2311"/>
      <c r="AF7" s="2311"/>
      <c r="AG7" s="2311"/>
      <c r="AH7" s="2311"/>
      <c r="AI7" s="2311"/>
      <c r="AJ7" s="2311"/>
      <c r="AK7" s="2311"/>
      <c r="AL7" s="2312"/>
      <c r="AM7" s="1323" t="s">
        <v>417</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418</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419</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420</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421</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422</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5305"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5305"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5305"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5745" customFormat="1" customHeight="1" ht="14.25" hidden="1">
      <c r="A20" s="1696"/>
      <c r="B20" s="1696"/>
      <c r="C20" s="1696"/>
      <c r="D20" s="1696"/>
      <c r="E20" s="1696"/>
      <c r="F20" s="1696"/>
      <c r="G20" s="1696"/>
      <c r="H20" s="1696"/>
      <c r="I20" s="1696"/>
      <c r="J20" s="1696"/>
      <c r="K20" s="1696"/>
      <c r="L20" s="2004"/>
      <c r="M20" s="2030"/>
      <c r="N20" s="2030"/>
      <c r="O20" s="1410" t="s">
        <v>423</v>
      </c>
      <c r="P20" s="1427"/>
      <c r="Q20" s="1436"/>
      <c r="R20" s="1436"/>
      <c r="S20" s="794"/>
      <c r="Z20" s="1432"/>
      <c r="AB20" s="1432"/>
      <c r="AH20" s="1432"/>
      <c r="AJ20" s="1432"/>
      <c r="AN20" s="1701"/>
      <c r="AO20" s="1701"/>
      <c r="AP20" s="1701"/>
      <c r="AQ20" s="1701"/>
      <c r="AR20" s="1701"/>
      <c r="AS20" s="1431">
        <v>0</v>
      </c>
    </row>
    <row s="5745"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5745" customFormat="1" customHeight="1" ht="14.25" hidden="1">
      <c r="A22" s="1696"/>
      <c r="B22" s="1696"/>
      <c r="C22" s="1696"/>
      <c r="D22" s="1696"/>
      <c r="E22" s="1696"/>
      <c r="F22" s="1696"/>
      <c r="G22" s="1696"/>
      <c r="H22" s="1696"/>
      <c r="I22" s="1696"/>
      <c r="J22" s="1696"/>
      <c r="K22" s="1696"/>
      <c r="L22" s="2004"/>
      <c r="M22" s="2030"/>
      <c r="N22" s="2030"/>
      <c r="O22" s="1375" t="s">
        <v>424</v>
      </c>
      <c r="P22" s="1427"/>
      <c r="Q22" s="1436"/>
      <c r="R22" s="1436"/>
      <c r="S22" s="794"/>
      <c r="T22" s="1431" t="s">
        <v>425</v>
      </c>
      <c r="AA22" s="660" t="s">
        <v>426</v>
      </c>
      <c r="AC22" s="660" t="s">
        <v>427</v>
      </c>
      <c r="AD22" s="1431" t="s">
        <v>425</v>
      </c>
      <c r="AI22" s="660" t="s">
        <v>428</v>
      </c>
      <c r="AK22" s="660" t="s">
        <v>427</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6339"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УГРЦТ НАО</v>
      </c>
      <c r="W29" s="2316"/>
      <c r="X29" s="2316"/>
      <c r="Y29" s="2316"/>
      <c r="Z29" s="2316"/>
      <c r="AA29" s="2316"/>
      <c r="AB29" s="2316"/>
      <c r="AC29" s="1700"/>
      <c r="AD29" s="2316" t="str">
        <f>IF(TITLE_NAME_OR_PR_CHANGE="",IF(TITLE_NAME_OR_PR="","",TITLE_NAME_OR_PR),TITLE_NAME_OR_PR_CHANGE)</f>
        <v>УГРЦТ НАО</v>
      </c>
      <c r="AE29" s="2316"/>
      <c r="AF29" s="2316"/>
      <c r="AG29" s="2316"/>
      <c r="AH29" s="2316"/>
      <c r="AI29" s="2316"/>
      <c r="AJ29" s="2316"/>
      <c r="AK29" s="1700"/>
      <c r="AL29" s="1700"/>
      <c r="AM29" s="345"/>
      <c r="AN29" s="433"/>
      <c r="AO29" s="433"/>
      <c r="AP29" s="433"/>
      <c r="AQ29" s="433"/>
      <c r="AR29" s="433"/>
      <c r="AS29" s="483">
        <v>0</v>
      </c>
    </row>
    <row s="6339" customFormat="1" customHeight="1" ht="18.75" hidden="1">
      <c r="A30" s="1313"/>
      <c r="B30" s="1313"/>
      <c r="C30" s="1313"/>
      <c r="D30" s="1313"/>
      <c r="E30" s="1313"/>
      <c r="F30" s="1313"/>
      <c r="G30" s="1313"/>
      <c r="H30" s="1313"/>
      <c r="I30" s="1313"/>
      <c r="J30" s="1313"/>
      <c r="K30" s="1313"/>
      <c r="L30" s="1445"/>
      <c r="M30" s="1313"/>
      <c r="N30" s="1313"/>
      <c r="O30" s="1313"/>
      <c r="S30" s="2315" t="s">
        <v>429</v>
      </c>
      <c r="T30" s="2315"/>
      <c r="U30" s="1437"/>
      <c r="V30" s="2329" t="str">
        <f>IF(TITLE_DATE_PR_CHANGE="",IF(TITLE_DATE_PR="","",TITLE_DATE_PR),TITLE_DATE_PR_CHANGE)</f>
        <v>46008.55446759259</v>
      </c>
      <c r="W30" s="2329"/>
      <c r="X30" s="2329"/>
      <c r="Y30" s="2329"/>
      <c r="Z30" s="2329"/>
      <c r="AA30" s="2329"/>
      <c r="AB30" s="2329"/>
      <c r="AC30" s="1700"/>
      <c r="AD30" s="2329" t="str">
        <f>IF(TITLE_DATE_PR_CHANGE="",IF(TITLE_DATE_PR="","",TITLE_DATE_PR),TITLE_DATE_PR_CHANGE)</f>
        <v>46008.55446759259</v>
      </c>
      <c r="AE30" s="2329"/>
      <c r="AF30" s="2329"/>
      <c r="AG30" s="2329"/>
      <c r="AH30" s="2329"/>
      <c r="AI30" s="2329"/>
      <c r="AJ30" s="2329"/>
      <c r="AK30" s="1700"/>
      <c r="AL30" s="1700"/>
      <c r="AM30" s="345"/>
      <c r="AN30" s="433"/>
      <c r="AO30" s="433"/>
      <c r="AP30" s="433"/>
      <c r="AQ30" s="433"/>
      <c r="AR30" s="433"/>
      <c r="AS30" s="483">
        <v>0</v>
      </c>
    </row>
    <row s="6339" customFormat="1" customHeight="1" ht="18.75" hidden="1">
      <c r="A31" s="1313"/>
      <c r="B31" s="1313"/>
      <c r="C31" s="1313"/>
      <c r="D31" s="1313"/>
      <c r="E31" s="1313"/>
      <c r="F31" s="1313"/>
      <c r="G31" s="1313"/>
      <c r="H31" s="1313"/>
      <c r="I31" s="1313"/>
      <c r="J31" s="1313"/>
      <c r="K31" s="1313"/>
      <c r="L31" s="1445"/>
      <c r="M31" s="1313"/>
      <c r="N31" s="1313"/>
      <c r="O31" s="1313"/>
      <c r="S31" s="2315" t="s">
        <v>430</v>
      </c>
      <c r="T31" s="2315"/>
      <c r="U31" s="1437"/>
      <c r="V31" s="2316" t="str">
        <f>IF(TITLE_NUMBER_PR_CHANGE="",IF(TITLE_NUMBER_PR="","",TITLE_NUMBER_PR),TITLE_NUMBER_PR_CHANGE)</f>
        <v>57</v>
      </c>
      <c r="W31" s="2316"/>
      <c r="X31" s="2316"/>
      <c r="Y31" s="2316"/>
      <c r="Z31" s="2316"/>
      <c r="AA31" s="2316"/>
      <c r="AB31" s="2316"/>
      <c r="AC31" s="1700"/>
      <c r="AD31" s="2316" t="str">
        <f>IF(TITLE_NUMBER_PR_CHANGE="",IF(TITLE_NUMBER_PR="","",TITLE_NUMBER_PR),TITLE_NUMBER_PR_CHANGE)</f>
        <v>57</v>
      </c>
      <c r="AE31" s="2316"/>
      <c r="AF31" s="2316"/>
      <c r="AG31" s="2316"/>
      <c r="AH31" s="2316"/>
      <c r="AI31" s="2316"/>
      <c r="AJ31" s="2316"/>
      <c r="AK31" s="1700"/>
      <c r="AL31" s="1700"/>
      <c r="AM31" s="345"/>
      <c r="AN31" s="433"/>
      <c r="AO31" s="433"/>
      <c r="AP31" s="433"/>
      <c r="AQ31" s="433"/>
      <c r="AR31" s="433"/>
      <c r="AS31" s="483">
        <v>0</v>
      </c>
    </row>
    <row s="6339"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http://pravo.gov.ru</v>
      </c>
      <c r="W32" s="2316"/>
      <c r="X32" s="2316"/>
      <c r="Y32" s="2316"/>
      <c r="Z32" s="2316"/>
      <c r="AA32" s="2316"/>
      <c r="AB32" s="2316"/>
      <c r="AC32" s="1700"/>
      <c r="AD32" s="2316" t="str">
        <f>IF(TITLE_IST_PUB_CHANGE="",IF(TITLE_IST_PUB="","",TITLE_IST_PUB),TITLE_IST_PUB_CHANGE)</f>
        <v>http://pravo.gov.ru</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6339" customFormat="1" customHeight="1" ht="18.75" hidden="1">
      <c r="A34" s="1313"/>
      <c r="B34" s="1313"/>
      <c r="C34" s="1313"/>
      <c r="D34" s="1313"/>
      <c r="E34" s="1313"/>
      <c r="F34" s="1313"/>
      <c r="G34" s="1313"/>
      <c r="H34" s="1313"/>
      <c r="I34" s="1313"/>
      <c r="J34" s="1313"/>
      <c r="K34" s="1313"/>
      <c r="L34" s="1445"/>
      <c r="M34" s="1313"/>
      <c r="N34" s="1313"/>
      <c r="O34" s="1313"/>
      <c r="S34" s="2315" t="s">
        <v>431</v>
      </c>
      <c r="T34" s="2315"/>
      <c r="U34" s="1437"/>
      <c r="V34" s="2329" t="str">
        <f>IF(TITLE_DATE_PR_CHANGE="",IF(TITLE_DATE_PR="","",TITLE_DATE_PR),TITLE_DATE_PR_CHANGE)</f>
        <v>46008.55446759259</v>
      </c>
      <c r="W34" s="2329"/>
      <c r="X34" s="2329"/>
      <c r="Y34" s="2329"/>
      <c r="Z34" s="2329"/>
      <c r="AA34" s="2329"/>
      <c r="AB34" s="2329"/>
      <c r="AC34" s="1700"/>
      <c r="AD34" s="2329" t="str">
        <f>IF(TITLE_DATE_PR_CHANGE="",IF(TITLE_DATE_PR="","",TITLE_DATE_PR),TITLE_DATE_PR_CHANGE)</f>
        <v>46008.55446759259</v>
      </c>
      <c r="AE34" s="2329"/>
      <c r="AF34" s="2329"/>
      <c r="AG34" s="2329"/>
      <c r="AH34" s="2329"/>
      <c r="AI34" s="2329"/>
      <c r="AJ34" s="2329"/>
      <c r="AK34" s="1700"/>
      <c r="AL34" s="1700"/>
      <c r="AM34" s="345"/>
      <c r="AN34" s="433"/>
      <c r="AO34" s="433"/>
      <c r="AP34" s="433"/>
      <c r="AQ34" s="433"/>
      <c r="AR34" s="433"/>
      <c r="AS34" s="483">
        <v>0</v>
      </c>
    </row>
    <row s="6339" customFormat="1" customHeight="1" ht="18.75" hidden="1">
      <c r="A35" s="1313"/>
      <c r="B35" s="1313"/>
      <c r="C35" s="1313"/>
      <c r="D35" s="1313"/>
      <c r="E35" s="1313"/>
      <c r="F35" s="1313"/>
      <c r="G35" s="1313"/>
      <c r="H35" s="1313"/>
      <c r="I35" s="1313"/>
      <c r="J35" s="1313"/>
      <c r="K35" s="1313"/>
      <c r="L35" s="1445"/>
      <c r="M35" s="1313"/>
      <c r="N35" s="1313"/>
      <c r="O35" s="1313"/>
      <c r="S35" s="2315" t="s">
        <v>432</v>
      </c>
      <c r="T35" s="2315"/>
      <c r="U35" s="1437"/>
      <c r="V35" s="2316" t="str">
        <f>IF(TITLE_NUMBER_PR_CHANGE="",IF(TITLE_NUMBER_PR="","",TITLE_NUMBER_PR),TITLE_NUMBER_PR_CHANGE)</f>
        <v>57</v>
      </c>
      <c r="W35" s="2316"/>
      <c r="X35" s="2316"/>
      <c r="Y35" s="2316"/>
      <c r="Z35" s="2316"/>
      <c r="AA35" s="2316"/>
      <c r="AB35" s="2316"/>
      <c r="AC35" s="1700"/>
      <c r="AD35" s="2316" t="str">
        <f>IF(TITLE_NUMBER_PR_CHANGE="",IF(TITLE_NUMBER_PR="","",TITLE_NUMBER_PR),TITLE_NUMBER_PR_CHANGE)</f>
        <v>57</v>
      </c>
      <c r="AE35" s="2316"/>
      <c r="AF35" s="2316"/>
      <c r="AG35" s="2316"/>
      <c r="AH35" s="2316"/>
      <c r="AI35" s="2316"/>
      <c r="AJ35" s="2316"/>
      <c r="AK35" s="1700"/>
      <c r="AL35" s="1700"/>
      <c r="AM35" s="345"/>
      <c r="AN35" s="433"/>
      <c r="AO35" s="433"/>
      <c r="AP35" s="433"/>
      <c r="AQ35" s="433"/>
      <c r="AR35" s="433"/>
      <c r="AS35" s="483">
        <v>0</v>
      </c>
    </row>
    <row s="6339"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433</v>
      </c>
      <c r="AD36" s="1700"/>
      <c r="AE36" s="1700"/>
      <c r="AF36" s="1700"/>
      <c r="AG36" s="1700"/>
      <c r="AH36" s="1700"/>
      <c r="AI36" s="1700"/>
      <c r="AJ36" s="1700"/>
      <c r="AK36" s="1707" t="s">
        <v>433</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696">
        <v>14</v>
      </c>
    </row>
    <row customHeight="1" ht="14.699999999999998">
      <c r="Q39" s="441"/>
      <c r="R39" s="441"/>
      <c r="S39" s="2338" t="s">
        <v>91</v>
      </c>
      <c r="T39" s="2274" t="s">
        <v>434</v>
      </c>
      <c r="U39" s="402"/>
      <c r="V39" s="2339" t="s">
        <v>435</v>
      </c>
      <c r="W39" s="2340"/>
      <c r="X39" s="2340"/>
      <c r="Y39" s="2340"/>
      <c r="Z39" s="2340"/>
      <c r="AA39" s="2340"/>
      <c r="AB39" s="2341"/>
      <c r="AC39" s="2342" t="s">
        <v>436</v>
      </c>
      <c r="AD39" s="2339" t="s">
        <v>435</v>
      </c>
      <c r="AE39" s="2340"/>
      <c r="AF39" s="2340"/>
      <c r="AG39" s="2340"/>
      <c r="AH39" s="2340"/>
      <c r="AI39" s="2340"/>
      <c r="AJ39" s="2341"/>
      <c r="AK39" s="2342" t="s">
        <v>437</v>
      </c>
      <c r="AL39" s="2345" t="s">
        <v>438</v>
      </c>
      <c r="AM39" s="2192"/>
      <c r="AS39" s="1696">
        <v>14</v>
      </c>
    </row>
    <row customHeight="1" ht="35.699999999999996">
      <c r="Q40" s="441"/>
      <c r="R40" s="441"/>
      <c r="S40" s="2338"/>
      <c r="T40" s="2274"/>
      <c r="U40" s="1096"/>
      <c r="V40" s="2325" t="s">
        <v>439</v>
      </c>
      <c r="W40" s="2348" t="s">
        <v>440</v>
      </c>
      <c r="X40" s="2327" t="s">
        <v>441</v>
      </c>
      <c r="Y40" s="2328"/>
      <c r="Z40" s="2327" t="s">
        <v>455</v>
      </c>
      <c r="AA40" s="2334"/>
      <c r="AB40" s="2328"/>
      <c r="AC40" s="2343"/>
      <c r="AD40" s="2325" t="s">
        <v>439</v>
      </c>
      <c r="AE40" s="2348" t="s">
        <v>440</v>
      </c>
      <c r="AF40" s="2327" t="s">
        <v>441</v>
      </c>
      <c r="AG40" s="2328"/>
      <c r="AH40" s="2327" t="s">
        <v>442</v>
      </c>
      <c r="AI40" s="2334"/>
      <c r="AJ40" s="2328"/>
      <c r="AK40" s="2343"/>
      <c r="AL40" s="2346"/>
      <c r="AM40" s="2192"/>
      <c r="AS40" s="1696">
        <v>34</v>
      </c>
    </row>
    <row customHeight="1" ht="35.699999999999996">
      <c r="A41" s="1331"/>
      <c r="B41" s="1331" t="s">
        <v>138</v>
      </c>
      <c r="C41" s="1331" t="s">
        <v>139</v>
      </c>
      <c r="D41" s="1331" t="s">
        <v>140</v>
      </c>
      <c r="E41" s="1375" t="s">
        <v>443</v>
      </c>
      <c r="F41" s="1375" t="s">
        <v>444</v>
      </c>
      <c r="G41" s="1375" t="s">
        <v>445</v>
      </c>
      <c r="H41" s="1375" t="s">
        <v>446</v>
      </c>
      <c r="I41" s="1375" t="s">
        <v>447</v>
      </c>
      <c r="J41" s="1375" t="s">
        <v>448</v>
      </c>
      <c r="K41" s="1375" t="s">
        <v>449</v>
      </c>
      <c r="L41" s="1375" t="s">
        <v>424</v>
      </c>
      <c r="Q41" s="441"/>
      <c r="R41" s="441"/>
      <c r="S41" s="2338"/>
      <c r="T41" s="2274"/>
      <c r="U41" s="367"/>
      <c r="V41" s="2326"/>
      <c r="W41" s="2349"/>
      <c r="X41" s="2003" t="s">
        <v>450</v>
      </c>
      <c r="Y41" s="2003" t="s">
        <v>451</v>
      </c>
      <c r="Z41" s="2003" t="s">
        <v>452</v>
      </c>
      <c r="AA41" s="2335" t="s">
        <v>453</v>
      </c>
      <c r="AB41" s="2336"/>
      <c r="AC41" s="2344"/>
      <c r="AD41" s="2326"/>
      <c r="AE41" s="2349"/>
      <c r="AF41" s="2003" t="s">
        <v>450</v>
      </c>
      <c r="AG41" s="2003" t="s">
        <v>451</v>
      </c>
      <c r="AH41" s="2003" t="s">
        <v>452</v>
      </c>
      <c r="AI41" s="2335" t="s">
        <v>453</v>
      </c>
      <c r="AJ41" s="2336"/>
      <c r="AK41" s="2344"/>
      <c r="AL41" s="2347"/>
      <c r="AM41" s="2192"/>
      <c r="AS41" s="1696">
        <v>34</v>
      </c>
    </row>
    <row s="4600"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221</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221</v>
      </c>
      <c r="B44" s="1332" t="s">
        <v>222</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1689"/>
      <c r="AP44" s="1689" t="str">
        <f>IF(T44="","",T44)</f>
        <v>Территория действия тарифа</v>
      </c>
      <c r="AQ44" s="1689"/>
      <c r="AR44" s="1689"/>
      <c r="AS44" s="1696">
        <v>21</v>
      </c>
    </row>
    <row customHeight="1" ht="24">
      <c r="A45" s="1332" t="s">
        <v>221</v>
      </c>
      <c r="B45" s="1332" t="s">
        <v>222</v>
      </c>
      <c r="C45" s="1332" t="s">
        <v>223</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1689"/>
      <c r="AP45" s="1689" t="str">
        <f>IF(T45="","",T45)</f>
        <v>Наименование системы теплоснабжения </v>
      </c>
      <c r="AQ45" s="1689"/>
      <c r="AR45" s="1689"/>
      <c r="AS45" s="1696">
        <v>23</v>
      </c>
    </row>
    <row customHeight="1" ht="22.049999999999997">
      <c r="A46" s="1332" t="s">
        <v>221</v>
      </c>
      <c r="B46" s="1332" t="s">
        <v>222</v>
      </c>
      <c r="C46" s="1332" t="s">
        <v>223</v>
      </c>
      <c r="D46" s="1332" t="s">
        <v>224</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1689"/>
      <c r="AP46" s="1689" t="str">
        <f>IF(T46="","",T46)</f>
        <v>Источник тепловой энергии  </v>
      </c>
      <c r="AQ46" s="1689"/>
      <c r="AR46" s="1689"/>
      <c r="AS46" s="1696">
        <v>21</v>
      </c>
    </row>
    <row customHeight="1" ht="49.5">
      <c r="A47" s="1332" t="s">
        <v>221</v>
      </c>
      <c r="B47" s="1332" t="s">
        <v>222</v>
      </c>
      <c r="C47" s="1332" t="s">
        <v>223</v>
      </c>
      <c r="D47" s="1332" t="s">
        <v>224</v>
      </c>
      <c r="E47" s="2355"/>
      <c r="F47" s="2355"/>
      <c r="G47" s="2355"/>
      <c r="H47" s="2355"/>
      <c r="I47" s="2192" t="str">
        <f>S46&amp;".1"</f>
        <v>....1</v>
      </c>
      <c r="J47" s="1332"/>
      <c r="K47" s="1332"/>
      <c r="L47" s="1375" t="s">
        <v>412</v>
      </c>
      <c r="P47" s="2322">
        <v>1</v>
      </c>
      <c r="Q47" s="2019"/>
      <c r="R47" s="421"/>
      <c r="S47" s="2023" t="str">
        <f>$I47</f>
        <v>....1</v>
      </c>
      <c r="T47" s="350" t="s">
        <v>413</v>
      </c>
      <c r="U47" s="365"/>
      <c r="V47" s="2310"/>
      <c r="W47" s="2311"/>
      <c r="X47" s="2311"/>
      <c r="Y47" s="2311"/>
      <c r="Z47" s="2311"/>
      <c r="AA47" s="2311"/>
      <c r="AB47" s="2311"/>
      <c r="AC47" s="2312"/>
      <c r="AD47" s="2310"/>
      <c r="AE47" s="2311"/>
      <c r="AF47" s="2311"/>
      <c r="AG47" s="2311"/>
      <c r="AH47" s="2311"/>
      <c r="AI47" s="2311"/>
      <c r="AJ47" s="2311"/>
      <c r="AK47" s="2311"/>
      <c r="AL47" s="2312"/>
      <c r="AM47" s="1323" t="s">
        <v>414</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221</v>
      </c>
      <c r="B48" s="1332" t="s">
        <v>222</v>
      </c>
      <c r="C48" s="1332" t="s">
        <v>223</v>
      </c>
      <c r="D48" s="1332" t="s">
        <v>224</v>
      </c>
      <c r="E48" s="2355"/>
      <c r="F48" s="2355"/>
      <c r="G48" s="2355"/>
      <c r="H48" s="2355"/>
      <c r="I48" s="2166"/>
      <c r="J48" s="2192" t="str">
        <f>I47&amp;".1"</f>
        <v>....1.1</v>
      </c>
      <c r="K48" s="1332"/>
      <c r="L48" s="1375" t="s">
        <v>415</v>
      </c>
      <c r="P48" s="2322"/>
      <c r="Q48" s="2322">
        <v>1</v>
      </c>
      <c r="R48" s="422"/>
      <c r="S48" s="2023" t="str">
        <f>$J48</f>
        <v>....1.1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1689"/>
      <c r="AP48" s="1689" t="str">
        <f>IF(T48="","",T48)</f>
        <v>Группа потребителей</v>
      </c>
      <c r="AQ48" s="1689"/>
      <c r="AR48" s="1689"/>
      <c r="AS48" s="1696">
        <v>21</v>
      </c>
    </row>
    <row customHeight="1" ht="22.049999999999997">
      <c r="A49" s="1332" t="s">
        <v>221</v>
      </c>
      <c r="B49" s="1332" t="s">
        <v>222</v>
      </c>
      <c r="C49" s="1332" t="s">
        <v>223</v>
      </c>
      <c r="D49" s="1332" t="s">
        <v>224</v>
      </c>
      <c r="E49" s="2355"/>
      <c r="F49" s="2355"/>
      <c r="G49" s="2355"/>
      <c r="H49" s="2355"/>
      <c r="I49" s="2166"/>
      <c r="J49" s="2166"/>
      <c r="K49" s="2192" t="str">
        <f>J48&amp;".1"</f>
        <v>....1.1.1</v>
      </c>
      <c r="L49" s="1375" t="s">
        <v>418</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419</v>
      </c>
      <c r="AN49" s="1701">
        <f>STRCHECKDATE(V50:AL50)</f>
      </c>
      <c r="AO49" s="1689"/>
      <c r="AP49" s="1689" t="str">
        <f>IF(T49="","",T49)</f>
        <v/>
      </c>
      <c r="AQ49" s="1689"/>
      <c r="AR49" s="1689"/>
      <c r="AS49" s="1696">
        <v>21</v>
      </c>
    </row>
    <row customHeight="1" ht="1.05">
      <c r="A50" s="1332" t="s">
        <v>221</v>
      </c>
      <c r="B50" s="1332" t="s">
        <v>222</v>
      </c>
      <c r="C50" s="1332" t="s">
        <v>223</v>
      </c>
      <c r="D50" s="1332" t="s">
        <v>224</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221</v>
      </c>
      <c r="B51" s="1332" t="s">
        <v>222</v>
      </c>
      <c r="C51" s="1332" t="s">
        <v>223</v>
      </c>
      <c r="D51" s="1332" t="s">
        <v>224</v>
      </c>
      <c r="E51" s="2355"/>
      <c r="F51" s="2355"/>
      <c r="G51" s="2355"/>
      <c r="H51" s="2355"/>
      <c r="I51" s="2166"/>
      <c r="J51" s="2192"/>
      <c r="K51" s="1332"/>
      <c r="L51" s="1375"/>
      <c r="P51" s="2322"/>
      <c r="Q51" s="2322"/>
      <c r="R51" s="421"/>
      <c r="S51" s="1343"/>
      <c r="T51" s="353" t="s">
        <v>420</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221</v>
      </c>
      <c r="B52" s="1332" t="s">
        <v>222</v>
      </c>
      <c r="C52" s="1332" t="s">
        <v>223</v>
      </c>
      <c r="D52" s="1332" t="s">
        <v>224</v>
      </c>
      <c r="E52" s="2355"/>
      <c r="F52" s="2355"/>
      <c r="G52" s="2355"/>
      <c r="H52" s="2355"/>
      <c r="I52" s="2192"/>
      <c r="J52" s="1332"/>
      <c r="K52" s="1332"/>
      <c r="L52" s="1375"/>
      <c r="P52" s="2322"/>
      <c r="Q52" s="2019"/>
      <c r="R52" s="421"/>
      <c r="S52" s="1343"/>
      <c r="T52" s="352" t="s">
        <v>421</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221</v>
      </c>
      <c r="B53" s="1332" t="s">
        <v>222</v>
      </c>
      <c r="C53" s="1332" t="s">
        <v>223</v>
      </c>
      <c r="D53" s="1332" t="s">
        <v>224</v>
      </c>
      <c r="E53" s="2355"/>
      <c r="F53" s="2355"/>
      <c r="G53" s="2355"/>
      <c r="H53" s="2354"/>
      <c r="I53" s="1332"/>
      <c r="J53" s="1332"/>
      <c r="K53" s="1332"/>
      <c r="L53" s="1375"/>
      <c r="M53" s="1675"/>
      <c r="N53" s="1675"/>
      <c r="O53" s="1700"/>
      <c r="P53" s="425"/>
      <c r="Q53" s="440"/>
      <c r="R53" s="420"/>
      <c r="S53" s="1343"/>
      <c r="T53" s="430" t="s">
        <v>422</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5305" customFormat="1" customHeight="1" ht="1.05">
      <c r="A54" s="1332" t="s">
        <v>221</v>
      </c>
      <c r="B54" s="1332" t="s">
        <v>222</v>
      </c>
      <c r="C54" s="1332" t="s">
        <v>223</v>
      </c>
      <c r="D54" s="2039"/>
      <c r="E54" s="2355"/>
      <c r="F54" s="2355"/>
      <c r="G54" s="2354"/>
      <c r="H54" s="2039"/>
      <c r="I54" s="2039"/>
      <c r="J54" s="2039"/>
      <c r="K54" s="2039"/>
      <c r="L54" s="1445"/>
      <c r="M54" s="1675"/>
      <c r="N54" s="1675"/>
      <c r="O54" s="1700"/>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5305" customFormat="1" customHeight="1" ht="1.05">
      <c r="A55" s="1332" t="s">
        <v>221</v>
      </c>
      <c r="B55" s="1332" t="s">
        <v>222</v>
      </c>
      <c r="C55" s="2039"/>
      <c r="D55" s="2039"/>
      <c r="E55" s="2355"/>
      <c r="F55" s="2354"/>
      <c r="G55" s="2039"/>
      <c r="H55" s="2039"/>
      <c r="I55" s="2039"/>
      <c r="J55" s="2039"/>
      <c r="K55" s="2039"/>
      <c r="L55" s="1445"/>
      <c r="M55" s="2040"/>
      <c r="N55" s="2040"/>
      <c r="O55" s="1700"/>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5305" customFormat="1" customHeight="1" ht="1.05">
      <c r="A56" s="1332" t="s">
        <v>221</v>
      </c>
      <c r="B56" s="1332"/>
      <c r="C56" s="1332"/>
      <c r="D56" s="1332"/>
      <c r="E56" s="2354"/>
      <c r="F56" s="1332"/>
      <c r="G56" s="1332"/>
      <c r="H56" s="1332"/>
      <c r="I56" s="1332"/>
      <c r="J56" s="1332"/>
      <c r="K56" s="1332"/>
      <c r="L56" s="1375"/>
      <c r="M56" s="2040"/>
      <c r="N56" s="2040"/>
      <c r="O56" s="1700"/>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5305"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7F4CC-2933-F1E7-B466-0.DE584A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1.00390625" customWidth="1"/>
    <col min="21" max="21" style="5796" width="0.7109375" hidden="1" customWidth="1"/>
    <col min="22" max="22" style="5796" width="1.7109375" hidden="1" customWidth="1"/>
    <col min="23" max="23" style="5796" width="24.7109375" hidden="1" customWidth="1"/>
    <col min="24" max="25" style="5796" width="0.14062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0.140625" customWidth="1"/>
    <col min="31" max="31" style="5796" width="24.00390625" customWidth="1"/>
    <col min="32" max="33" style="5796" width="0.14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409</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411</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412</v>
      </c>
      <c r="M6" s="602"/>
      <c r="P6" s="2322">
        <v>1</v>
      </c>
      <c r="Q6" s="1396"/>
      <c r="R6" s="421"/>
      <c r="S6" s="1401">
        <f>$I6</f>
      </c>
      <c r="T6" s="350" t="s">
        <v>413</v>
      </c>
      <c r="U6" s="365"/>
      <c r="V6" s="2310"/>
      <c r="W6" s="2311"/>
      <c r="X6" s="2311"/>
      <c r="Y6" s="2311"/>
      <c r="Z6" s="2311"/>
      <c r="AA6" s="2311"/>
      <c r="AB6" s="2311"/>
      <c r="AC6" s="2312"/>
      <c r="AD6" s="2310"/>
      <c r="AE6" s="2311"/>
      <c r="AF6" s="2311"/>
      <c r="AG6" s="2311"/>
      <c r="AH6" s="2311"/>
      <c r="AI6" s="2311"/>
      <c r="AJ6" s="2311"/>
      <c r="AK6" s="2311"/>
      <c r="AL6" s="2312"/>
      <c r="AM6" s="1323" t="s">
        <v>414</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415</v>
      </c>
      <c r="M7" s="602"/>
      <c r="N7" s="1431"/>
      <c r="P7" s="2322"/>
      <c r="Q7" s="2322">
        <v>1</v>
      </c>
      <c r="R7" s="422"/>
      <c r="S7" s="1401">
        <f>$J7</f>
      </c>
      <c r="T7" s="351" t="s">
        <v>416</v>
      </c>
      <c r="U7" s="365"/>
      <c r="V7" s="2310"/>
      <c r="W7" s="2311"/>
      <c r="X7" s="2311"/>
      <c r="Y7" s="2311"/>
      <c r="Z7" s="2311"/>
      <c r="AA7" s="2311"/>
      <c r="AB7" s="2311"/>
      <c r="AC7" s="2312"/>
      <c r="AD7" s="2310"/>
      <c r="AE7" s="2311"/>
      <c r="AF7" s="2311"/>
      <c r="AG7" s="2311"/>
      <c r="AH7" s="2311"/>
      <c r="AI7" s="2311"/>
      <c r="AJ7" s="2311"/>
      <c r="AK7" s="2311"/>
      <c r="AL7" s="2312"/>
      <c r="AM7" s="1323" t="s">
        <v>417</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418</v>
      </c>
      <c r="M8" s="602"/>
      <c r="N8" s="1431"/>
      <c r="O8" s="1431"/>
      <c r="P8" s="2322"/>
      <c r="Q8" s="2322"/>
      <c r="R8" s="422">
        <v>1</v>
      </c>
      <c r="S8" s="1401">
        <f>$K8</f>
      </c>
      <c r="T8" s="1412"/>
      <c r="U8" s="365"/>
      <c r="V8" s="390"/>
      <c r="W8" s="816"/>
      <c r="X8" s="390"/>
      <c r="Y8" s="449"/>
      <c r="Z8" s="2330"/>
      <c r="AA8" s="2172" t="s">
        <v>64</v>
      </c>
      <c r="AB8" s="2330"/>
      <c r="AC8" s="2172" t="s">
        <v>64</v>
      </c>
      <c r="AD8" s="390"/>
      <c r="AE8" s="816"/>
      <c r="AF8" s="390"/>
      <c r="AG8" s="449"/>
      <c r="AH8" s="2330"/>
      <c r="AI8" s="2172" t="s">
        <v>64</v>
      </c>
      <c r="AJ8" s="2330"/>
      <c r="AK8" s="2172" t="s">
        <v>64</v>
      </c>
      <c r="AL8" s="390"/>
      <c r="AM8" s="2318" t="s">
        <v>419</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420</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421</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422</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5305"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5305"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5305"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745" customFormat="1" customHeight="1" ht="22.5" hidden="1">
      <c r="L20" s="1394"/>
      <c r="M20" s="1427"/>
      <c r="N20" s="1427"/>
      <c r="O20" s="1432" t="s">
        <v>423</v>
      </c>
      <c r="P20" s="1427"/>
      <c r="Q20" s="1436"/>
      <c r="R20" s="1436"/>
      <c r="S20" s="794"/>
      <c r="Z20" s="1432"/>
      <c r="AB20" s="1432"/>
      <c r="AC20" s="1431"/>
      <c r="AH20" s="1432"/>
      <c r="AJ20" s="1432"/>
      <c r="AK20" s="1431"/>
      <c r="AN20" s="576"/>
      <c r="AO20" s="576"/>
      <c r="AP20" s="576"/>
      <c r="AQ20" s="576"/>
      <c r="AR20" s="576"/>
      <c r="AS20" s="1225">
        <v>0</v>
      </c>
    </row>
    <row s="5745" customFormat="1" customHeight="1" ht="14.25" hidden="1">
      <c r="L21" s="1394"/>
      <c r="M21" s="1427"/>
      <c r="N21" s="1427"/>
      <c r="O21" s="1427"/>
      <c r="P21" s="1427"/>
      <c r="Q21" s="1436"/>
      <c r="R21" s="1436"/>
      <c r="S21" s="794"/>
      <c r="AC21" s="1431"/>
      <c r="AK21" s="1431"/>
      <c r="AN21" s="576"/>
      <c r="AO21" s="576"/>
      <c r="AP21" s="576"/>
      <c r="AQ21" s="576"/>
      <c r="AR21" s="576"/>
      <c r="AS21" s="1225">
        <v>0</v>
      </c>
    </row>
    <row s="5745" customFormat="1" customHeight="1" ht="33.75" hidden="1">
      <c r="L22" s="1394"/>
      <c r="M22" s="1427"/>
      <c r="N22" s="1427"/>
      <c r="O22" s="1429" t="s">
        <v>424</v>
      </c>
      <c r="P22" s="1427"/>
      <c r="Q22" s="1436"/>
      <c r="R22" s="1436"/>
      <c r="S22" s="794"/>
      <c r="T22" s="1225" t="s">
        <v>425</v>
      </c>
      <c r="AA22" s="251" t="s">
        <v>426</v>
      </c>
      <c r="AC22" s="251" t="s">
        <v>427</v>
      </c>
      <c r="AD22" s="1225" t="s">
        <v>425</v>
      </c>
      <c r="AI22" s="251" t="s">
        <v>428</v>
      </c>
      <c r="AK22" s="251" t="s">
        <v>427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1"/>
      <c r="AM29" s="345"/>
      <c r="AN29" s="433"/>
      <c r="AO29" s="433"/>
      <c r="AP29" s="433"/>
      <c r="AQ29" s="433"/>
      <c r="AR29" s="433"/>
      <c r="AS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1"/>
      <c r="AM30" s="345"/>
      <c r="AN30" s="433"/>
      <c r="AO30" s="433"/>
      <c r="AP30" s="433"/>
      <c r="AQ30" s="433"/>
      <c r="AR30" s="433"/>
      <c r="AS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1"/>
      <c r="AM31" s="345"/>
      <c r="AN31" s="433"/>
      <c r="AO31" s="433"/>
      <c r="AP31" s="433"/>
      <c r="AQ31" s="433"/>
      <c r="AR31" s="433"/>
      <c r="AS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1"/>
      <c r="AM34" s="345"/>
      <c r="AN34" s="433"/>
      <c r="AO34" s="433"/>
      <c r="AP34" s="433"/>
      <c r="AQ34" s="433"/>
      <c r="AR34" s="433"/>
      <c r="AS34" s="483">
        <v>0</v>
      </c>
    </row>
    <row s="6339" customFormat="1" customHeight="1" ht="18.7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1"/>
      <c r="AM35" s="345"/>
      <c r="AN35" s="433"/>
      <c r="AO35" s="433"/>
      <c r="AP35" s="433"/>
      <c r="AQ35" s="433"/>
      <c r="AR35" s="433"/>
      <c r="AS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433</v>
      </c>
      <c r="AD36" s="391"/>
      <c r="AE36" s="391"/>
      <c r="AF36" s="391"/>
      <c r="AG36" s="391"/>
      <c r="AH36" s="391"/>
      <c r="AI36" s="391"/>
      <c r="AJ36" s="391"/>
      <c r="AK36" s="343" t="s">
        <v>433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220">
        <v>14</v>
      </c>
    </row>
    <row customHeight="1" ht="14.699999999999998">
      <c r="Q39" s="441"/>
      <c r="R39" s="441"/>
      <c r="S39" s="2338" t="s">
        <v>91</v>
      </c>
      <c r="T39" s="2274" t="s">
        <v>434</v>
      </c>
      <c r="U39" s="366"/>
      <c r="V39" s="2339" t="s">
        <v>435</v>
      </c>
      <c r="W39" s="2340"/>
      <c r="X39" s="2356"/>
      <c r="Y39" s="2356"/>
      <c r="Z39" s="2340"/>
      <c r="AA39" s="2340"/>
      <c r="AB39" s="2341"/>
      <c r="AC39" s="2342" t="s">
        <v>436</v>
      </c>
      <c r="AD39" s="2339" t="s">
        <v>435</v>
      </c>
      <c r="AE39" s="2340"/>
      <c r="AF39" s="2356"/>
      <c r="AG39" s="2356"/>
      <c r="AH39" s="2340"/>
      <c r="AI39" s="2340"/>
      <c r="AJ39" s="2341"/>
      <c r="AK39" s="2342" t="s">
        <v>437</v>
      </c>
      <c r="AL39" s="2345" t="s">
        <v>438</v>
      </c>
      <c r="AM39" s="2192"/>
      <c r="AS39" s="1220">
        <v>14</v>
      </c>
    </row>
    <row customHeight="1" ht="24">
      <c r="Q40" s="441"/>
      <c r="R40" s="441"/>
      <c r="S40" s="2338"/>
      <c r="T40" s="2274"/>
      <c r="U40" s="1096"/>
      <c r="V40" s="2357" t="s">
        <v>439</v>
      </c>
      <c r="W40" s="2359" t="s">
        <v>440</v>
      </c>
      <c r="X40" s="1441" t="s">
        <v>441</v>
      </c>
      <c r="Y40" s="1441"/>
      <c r="Z40" s="2334" t="s">
        <v>442</v>
      </c>
      <c r="AA40" s="2334"/>
      <c r="AB40" s="2328"/>
      <c r="AC40" s="2343"/>
      <c r="AD40" s="2357" t="s">
        <v>439</v>
      </c>
      <c r="AE40" s="2359" t="s">
        <v>440</v>
      </c>
      <c r="AF40" s="1441" t="s">
        <v>441</v>
      </c>
      <c r="AG40" s="1441"/>
      <c r="AH40" s="2334" t="s">
        <v>442</v>
      </c>
      <c r="AI40" s="2334"/>
      <c r="AJ40" s="2328"/>
      <c r="AK40" s="2343"/>
      <c r="AL40" s="2346"/>
      <c r="AM40" s="2192"/>
      <c r="AS40" s="1220">
        <v>23</v>
      </c>
    </row>
    <row s="5872" customFormat="1" customHeight="1" ht="24">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M41" s="1427"/>
      <c r="N41" s="1427"/>
      <c r="O41" s="1427"/>
      <c r="P41" s="1393"/>
      <c r="Q41" s="441"/>
      <c r="R41" s="441"/>
      <c r="S41" s="2338"/>
      <c r="T41" s="2274"/>
      <c r="U41" s="367"/>
      <c r="V41" s="2358"/>
      <c r="W41" s="2360"/>
      <c r="X41" s="1438" t="s">
        <v>450</v>
      </c>
      <c r="Y41" s="1438" t="s">
        <v>451</v>
      </c>
      <c r="Z41" s="1399" t="s">
        <v>452</v>
      </c>
      <c r="AA41" s="2335" t="s">
        <v>453</v>
      </c>
      <c r="AB41" s="2336"/>
      <c r="AC41" s="2344"/>
      <c r="AD41" s="2358"/>
      <c r="AE41" s="2360"/>
      <c r="AF41" s="1438" t="s">
        <v>450</v>
      </c>
      <c r="AG41" s="1438" t="s">
        <v>451</v>
      </c>
      <c r="AH41" s="1399" t="s">
        <v>452</v>
      </c>
      <c r="AI41" s="2335" t="s">
        <v>453</v>
      </c>
      <c r="AJ41" s="2336"/>
      <c r="AK41" s="2344"/>
      <c r="AL41" s="2347"/>
      <c r="AM41" s="2192"/>
      <c r="AN41" s="576"/>
      <c r="AO41" s="565"/>
      <c r="AP41" s="565"/>
      <c r="AQ41" s="565"/>
      <c r="AR41" s="565"/>
      <c r="AS41" s="647">
        <v>23</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203</v>
      </c>
      <c r="B44" s="1428" t="s">
        <v>204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565"/>
      <c r="AP44" s="565" t="str">
        <f>IF(T44="","",T44)</f>
        <v>Территория действия тарифа</v>
      </c>
      <c r="AQ44" s="565"/>
      <c r="AR44" s="565"/>
      <c r="AS44" s="1220">
        <v>21</v>
      </c>
    </row>
    <row customHeight="1" ht="24">
      <c r="A45" s="1428" t="s">
        <v>203</v>
      </c>
      <c r="B45" s="1428" t="s">
        <v>204</v>
      </c>
      <c r="C45" s="1428" t="s">
        <v>205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565"/>
      <c r="AP45" s="565" t="str">
        <f>IF(T45="","",T45)</f>
        <v>Наименование системы теплоснабжения </v>
      </c>
      <c r="AQ45" s="565"/>
      <c r="AR45" s="565"/>
      <c r="AS45" s="1220">
        <v>23</v>
      </c>
    </row>
    <row customHeight="1" ht="22.049999999999997">
      <c r="A46" s="1428" t="s">
        <v>203</v>
      </c>
      <c r="B46" s="1428" t="s">
        <v>204</v>
      </c>
      <c r="C46" s="1428" t="s">
        <v>205</v>
      </c>
      <c r="D46" s="1428" t="s">
        <v>206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565"/>
      <c r="AP46" s="565" t="str">
        <f>IF(T46="","",T46)</f>
        <v>Источник тепловой энергии  </v>
      </c>
      <c r="AQ46" s="565"/>
      <c r="AR46" s="565"/>
      <c r="AS46" s="1220">
        <v>21</v>
      </c>
    </row>
    <row customHeight="1" ht="49.5">
      <c r="A47" s="1428" t="s">
        <v>203</v>
      </c>
      <c r="B47" s="1428" t="s">
        <v>204</v>
      </c>
      <c r="C47" s="1428" t="s">
        <v>205</v>
      </c>
      <c r="D47" s="1428" t="s">
        <v>206</v>
      </c>
      <c r="E47" s="2324"/>
      <c r="F47" s="2324"/>
      <c r="G47" s="2324"/>
      <c r="H47" s="2324"/>
      <c r="I47" s="2321" t="str">
        <f>S46&amp;".1"</f>
        <v>....1</v>
      </c>
      <c r="J47" s="1428"/>
      <c r="K47" s="1428"/>
      <c r="L47" s="1429" t="s">
        <v>412</v>
      </c>
      <c r="P47" s="2322">
        <v>1</v>
      </c>
      <c r="Q47" s="1396"/>
      <c r="R47" s="421"/>
      <c r="S47" s="1401" t="str">
        <f>$I47</f>
        <v>....1</v>
      </c>
      <c r="T47" s="350" t="s">
        <v>413</v>
      </c>
      <c r="U47" s="365"/>
      <c r="V47" s="2310"/>
      <c r="W47" s="2311"/>
      <c r="X47" s="2311"/>
      <c r="Y47" s="2311"/>
      <c r="Z47" s="2311"/>
      <c r="AA47" s="2311"/>
      <c r="AB47" s="2311"/>
      <c r="AC47" s="2312"/>
      <c r="AD47" s="2310"/>
      <c r="AE47" s="2311"/>
      <c r="AF47" s="2311"/>
      <c r="AG47" s="2311"/>
      <c r="AH47" s="2311"/>
      <c r="AI47" s="2311"/>
      <c r="AJ47" s="2311"/>
      <c r="AK47" s="2311"/>
      <c r="AL47" s="2312"/>
      <c r="AM47" s="1323" t="s">
        <v>414</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203</v>
      </c>
      <c r="B48" s="1428" t="s">
        <v>204</v>
      </c>
      <c r="C48" s="1428" t="s">
        <v>205</v>
      </c>
      <c r="D48" s="1428" t="s">
        <v>206</v>
      </c>
      <c r="E48" s="2324"/>
      <c r="F48" s="2324"/>
      <c r="G48" s="2324"/>
      <c r="H48" s="2324"/>
      <c r="I48" s="2351"/>
      <c r="J48" s="2321" t="str">
        <f>I47&amp;".1"</f>
        <v>....1.1</v>
      </c>
      <c r="K48" s="1428"/>
      <c r="L48" s="1429" t="s">
        <v>415</v>
      </c>
      <c r="P48" s="2322"/>
      <c r="Q48" s="2322">
        <v>1</v>
      </c>
      <c r="R48" s="422"/>
      <c r="S48" s="1401" t="str">
        <f>$J48</f>
        <v>....1.1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565"/>
      <c r="AP48" s="565" t="str">
        <f>IF(T48="","",T48)</f>
        <v>Группа потребителей</v>
      </c>
      <c r="AQ48" s="565"/>
      <c r="AR48" s="565"/>
      <c r="AS48" s="1220">
        <v>21</v>
      </c>
    </row>
    <row customHeight="1" ht="22.049999999999997">
      <c r="A49" s="1428" t="s">
        <v>203</v>
      </c>
      <c r="B49" s="1428" t="s">
        <v>204</v>
      </c>
      <c r="C49" s="1428" t="s">
        <v>205</v>
      </c>
      <c r="D49" s="1428" t="s">
        <v>206</v>
      </c>
      <c r="E49" s="2324"/>
      <c r="F49" s="2324"/>
      <c r="G49" s="2324"/>
      <c r="H49" s="2324"/>
      <c r="I49" s="2351"/>
      <c r="J49" s="2351"/>
      <c r="K49" s="2321" t="str">
        <f>J48&amp;".1"</f>
        <v>....1.1.1</v>
      </c>
      <c r="L49" s="1429" t="s">
        <v>418</v>
      </c>
      <c r="P49" s="2322"/>
      <c r="Q49" s="2322"/>
      <c r="R49" s="422">
        <v>1</v>
      </c>
      <c r="S49" s="1401" t="str">
        <f>$K49</f>
        <v>....1.1.1</v>
      </c>
      <c r="T49" s="1412"/>
      <c r="U49" s="365"/>
      <c r="V49" s="390"/>
      <c r="W49" s="816"/>
      <c r="X49" s="390"/>
      <c r="Y49" s="449"/>
      <c r="Z49" s="2330"/>
      <c r="AA49" s="2172" t="s">
        <v>64</v>
      </c>
      <c r="AB49" s="2330"/>
      <c r="AC49" s="2172" t="s">
        <v>64</v>
      </c>
      <c r="AD49" s="390"/>
      <c r="AE49" s="816"/>
      <c r="AF49" s="390"/>
      <c r="AG49" s="449"/>
      <c r="AH49" s="2330"/>
      <c r="AI49" s="2172" t="s">
        <v>64</v>
      </c>
      <c r="AJ49" s="2352"/>
      <c r="AK49" s="2172" t="s">
        <v>64</v>
      </c>
      <c r="AL49" s="1413"/>
      <c r="AM49" s="2318" t="s">
        <v>419</v>
      </c>
      <c r="AN49" s="576">
        <f>STRCHECKDATE(V50:AL50)</f>
      </c>
      <c r="AO49" s="565"/>
      <c r="AP49" s="565" t="str">
        <f>IF(T49="","",T49)</f>
        <v/>
      </c>
      <c r="AQ49" s="565"/>
      <c r="AR49" s="565"/>
      <c r="AS49" s="1220">
        <v>21</v>
      </c>
    </row>
    <row customHeight="1" ht="1.05">
      <c r="A50" s="1428" t="s">
        <v>203</v>
      </c>
      <c r="B50" s="1428" t="s">
        <v>204</v>
      </c>
      <c r="C50" s="1428" t="s">
        <v>205</v>
      </c>
      <c r="D50" s="1428" t="s">
        <v>206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203</v>
      </c>
      <c r="B51" s="1428" t="s">
        <v>204</v>
      </c>
      <c r="C51" s="1428" t="s">
        <v>205</v>
      </c>
      <c r="D51" s="1428" t="s">
        <v>206</v>
      </c>
      <c r="E51" s="2324"/>
      <c r="F51" s="2324"/>
      <c r="G51" s="2324"/>
      <c r="H51" s="2324"/>
      <c r="I51" s="2351"/>
      <c r="J51" s="2321"/>
      <c r="K51" s="1428"/>
      <c r="L51" s="1429"/>
      <c r="P51" s="2322"/>
      <c r="Q51" s="2322"/>
      <c r="R51" s="421"/>
      <c r="S51" s="1343"/>
      <c r="T51" s="353" t="s">
        <v>420</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203</v>
      </c>
      <c r="B52" s="1428" t="s">
        <v>204</v>
      </c>
      <c r="C52" s="1428" t="s">
        <v>205</v>
      </c>
      <c r="D52" s="1428" t="s">
        <v>206</v>
      </c>
      <c r="E52" s="2324"/>
      <c r="F52" s="2324"/>
      <c r="G52" s="2324"/>
      <c r="H52" s="2324"/>
      <c r="I52" s="2321"/>
      <c r="J52" s="1428"/>
      <c r="K52" s="1428"/>
      <c r="L52" s="1429"/>
      <c r="P52" s="2322"/>
      <c r="Q52" s="1396"/>
      <c r="R52" s="421"/>
      <c r="S52" s="1343"/>
      <c r="T52" s="352" t="s">
        <v>421</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203</v>
      </c>
      <c r="B53" s="1428" t="s">
        <v>204</v>
      </c>
      <c r="C53" s="1428" t="s">
        <v>205</v>
      </c>
      <c r="D53" s="1428" t="s">
        <v>206</v>
      </c>
      <c r="E53" s="2324"/>
      <c r="F53" s="2324"/>
      <c r="G53" s="2324"/>
      <c r="H53" s="2323"/>
      <c r="I53" s="1428"/>
      <c r="J53" s="1428"/>
      <c r="K53" s="1428"/>
      <c r="L53" s="1429"/>
      <c r="M53" s="1430"/>
      <c r="N53" s="1430"/>
      <c r="O53" s="602"/>
      <c r="P53" s="425"/>
      <c r="Q53" s="440"/>
      <c r="R53" s="420"/>
      <c r="S53" s="1343"/>
      <c r="T53" s="430" t="s">
        <v>422</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5305" customFormat="1" customHeight="1" ht="1.05">
      <c r="A54" s="1408" t="s">
        <v>203</v>
      </c>
      <c r="B54" s="1408" t="s">
        <v>204</v>
      </c>
      <c r="C54" s="1408" t="s">
        <v>205</v>
      </c>
      <c r="D54" s="1379"/>
      <c r="E54" s="2324"/>
      <c r="F54" s="2324"/>
      <c r="G54" s="2323"/>
      <c r="H54" s="1379"/>
      <c r="I54" s="1379"/>
      <c r="J54" s="1379"/>
      <c r="K54" s="1379"/>
      <c r="L54" s="1404"/>
      <c r="M54" s="1380"/>
      <c r="N54" s="1380"/>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5305" customFormat="1" customHeight="1" ht="1.05">
      <c r="A55" s="1408" t="s">
        <v>203</v>
      </c>
      <c r="B55" s="1408" t="s">
        <v>204</v>
      </c>
      <c r="C55" s="1379"/>
      <c r="D55" s="1379"/>
      <c r="E55" s="2324"/>
      <c r="F55" s="2323"/>
      <c r="G55" s="1379"/>
      <c r="H55" s="1379"/>
      <c r="I55" s="1379"/>
      <c r="J55" s="1379"/>
      <c r="K55" s="1379"/>
      <c r="L55" s="1404"/>
      <c r="M55" s="1386"/>
      <c r="N55" s="1386"/>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5305" customFormat="1" customHeight="1" ht="1.05">
      <c r="A56" s="1408" t="s">
        <v>203</v>
      </c>
      <c r="B56" s="1408"/>
      <c r="C56" s="1408"/>
      <c r="D56" s="1408"/>
      <c r="E56" s="2323"/>
      <c r="F56" s="1408"/>
      <c r="G56" s="1408"/>
      <c r="H56" s="1408"/>
      <c r="I56" s="1408"/>
      <c r="J56" s="1408"/>
      <c r="K56" s="1408"/>
      <c r="L56" s="1411"/>
      <c r="M56" s="1386"/>
      <c r="N56" s="1386"/>
      <c r="O56" s="583"/>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5305"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75818-EB64-168A-7621-0.94BED381}" mc:Ignorable="x14ac xr xr2 xr3">
  <sheetPr>
    <tabColor theme="6" tint="0.4"/>
  </sheetPr>
  <dimension ref="A1:CG74"/>
  <sheetViews>
    <sheetView topLeftCell="A1" showGridLines="0" zoomScale="90" workbookViewId="0">
      <selection activeCell="T68" sqref="T68:CA68"/>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7109375" hidden="1"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customWidth="1"/>
    <col min="77" max="77" style="127" width="10.57421875" hidden="1"/>
    <col min="78" max="78" style="5796" width="4.00390625" customWidth="1"/>
    <col min="79" max="79" style="5796" width="115.00390625" customWidth="1"/>
    <col min="80" max="84" style="5305" width="10.00390625" customWidth="1"/>
    <col min="85" max="85" style="5796" width="8.421875" hidden="1" customWidth="1"/>
  </cols>
  <sheetData>
    <row customHeight="1" ht="22.5" hidden="1">
      <c r="Y1" s="392"/>
      <c r="Z1" s="392"/>
      <c r="AG1" s="392"/>
      <c r="AH1" s="392"/>
      <c r="AL1" s="3779"/>
      <c r="AM1" s="3779"/>
      <c r="AN1" s="3779"/>
      <c r="AO1" s="3779"/>
      <c r="AP1" s="3779"/>
      <c r="AQ1" s="3779"/>
      <c r="AR1" s="3779"/>
      <c r="AS1" s="3779"/>
      <c r="AT1" s="3779"/>
      <c r="AU1" s="3779"/>
      <c r="AV1" s="3779"/>
      <c r="AW1" s="3779"/>
      <c r="AX1" s="3779"/>
      <c r="AY1" s="3779"/>
      <c r="AZ1" s="3779"/>
      <c r="BA1" s="3779"/>
      <c r="BB1" s="3779"/>
      <c r="BC1" s="3779"/>
      <c r="BD1" s="3779"/>
      <c r="BE1" s="3779"/>
      <c r="BF1" s="3779"/>
      <c r="BG1" s="3779"/>
      <c r="BH1" s="3779"/>
      <c r="BI1" s="3779"/>
      <c r="BJ1" s="3779"/>
      <c r="BK1" s="3779"/>
      <c r="BL1" s="3779"/>
      <c r="BM1" s="3779"/>
      <c r="BN1" s="3779"/>
      <c r="BO1" s="3779"/>
      <c r="BP1" s="3779"/>
      <c r="BQ1" s="3779"/>
      <c r="BR1" s="3779"/>
      <c r="BS1" s="3779"/>
      <c r="BT1" s="3779"/>
      <c r="BU1" s="3779"/>
      <c r="BV1" s="3779"/>
      <c r="BW1" s="3779"/>
      <c r="BX1" s="3779"/>
      <c r="BY1" s="6520"/>
      <c r="CG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781"/>
      <c r="AM2" s="3782"/>
      <c r="AN2" s="3782"/>
      <c r="AO2" s="3782"/>
      <c r="AP2" s="3782"/>
      <c r="AQ2" s="3782"/>
      <c r="AR2" s="3782"/>
      <c r="AS2" s="3783"/>
      <c r="AT2" s="3781"/>
      <c r="AU2" s="3782"/>
      <c r="AV2" s="3782"/>
      <c r="AW2" s="3782"/>
      <c r="AX2" s="3782"/>
      <c r="AY2" s="3782"/>
      <c r="AZ2" s="3782"/>
      <c r="BA2" s="3783"/>
      <c r="BB2" s="3781"/>
      <c r="BC2" s="3782"/>
      <c r="BD2" s="3782"/>
      <c r="BE2" s="3782"/>
      <c r="BF2" s="3782"/>
      <c r="BG2" s="3782"/>
      <c r="BH2" s="3782"/>
      <c r="BI2" s="3783"/>
      <c r="BJ2" s="3781"/>
      <c r="BK2" s="3782"/>
      <c r="BL2" s="3782"/>
      <c r="BM2" s="3782"/>
      <c r="BN2" s="3782"/>
      <c r="BO2" s="3782"/>
      <c r="BP2" s="3782"/>
      <c r="BQ2" s="3783"/>
      <c r="BR2" s="3781"/>
      <c r="BS2" s="3782"/>
      <c r="BT2" s="3782"/>
      <c r="BU2" s="3782"/>
      <c r="BV2" s="3782"/>
      <c r="BW2" s="3782"/>
      <c r="BX2" s="3782"/>
      <c r="BY2" s="6521"/>
      <c r="BZ2" s="2309"/>
      <c r="CA2" s="1323" t="s">
        <v>405</v>
      </c>
      <c r="CC2" s="565"/>
      <c r="CD2" s="565" t="str">
        <f>IF(T2="","",T2)</f>
        <v>Наименование тарифа</v>
      </c>
      <c r="CE2" s="565"/>
      <c r="CF2" s="565"/>
      <c r="CG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781"/>
      <c r="AM3" s="3782"/>
      <c r="AN3" s="3782"/>
      <c r="AO3" s="3782"/>
      <c r="AP3" s="3782"/>
      <c r="AQ3" s="3782"/>
      <c r="AR3" s="3782"/>
      <c r="AS3" s="3783"/>
      <c r="AT3" s="3781"/>
      <c r="AU3" s="3782"/>
      <c r="AV3" s="3782"/>
      <c r="AW3" s="3782"/>
      <c r="AX3" s="3782"/>
      <c r="AY3" s="3782"/>
      <c r="AZ3" s="3782"/>
      <c r="BA3" s="3783"/>
      <c r="BB3" s="3781"/>
      <c r="BC3" s="3782"/>
      <c r="BD3" s="3782"/>
      <c r="BE3" s="3782"/>
      <c r="BF3" s="3782"/>
      <c r="BG3" s="3782"/>
      <c r="BH3" s="3782"/>
      <c r="BI3" s="3783"/>
      <c r="BJ3" s="3781"/>
      <c r="BK3" s="3782"/>
      <c r="BL3" s="3782"/>
      <c r="BM3" s="3782"/>
      <c r="BN3" s="3782"/>
      <c r="BO3" s="3782"/>
      <c r="BP3" s="3782"/>
      <c r="BQ3" s="3783"/>
      <c r="BR3" s="3781"/>
      <c r="BS3" s="3782"/>
      <c r="BT3" s="3782"/>
      <c r="BU3" s="3782"/>
      <c r="BV3" s="3782"/>
      <c r="BW3" s="3782"/>
      <c r="BX3" s="3782"/>
      <c r="BY3" s="6521"/>
      <c r="BZ3" s="2309"/>
      <c r="CA3" s="1323" t="s">
        <v>407</v>
      </c>
      <c r="CC3" s="565"/>
      <c r="CD3" s="565" t="str">
        <f>IF(T3="","",T3)</f>
        <v>Территория действия тарифа</v>
      </c>
      <c r="CE3" s="565"/>
      <c r="CF3" s="565"/>
      <c r="CG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781"/>
      <c r="AM4" s="3782"/>
      <c r="AN4" s="3782"/>
      <c r="AO4" s="3782"/>
      <c r="AP4" s="3782"/>
      <c r="AQ4" s="3782"/>
      <c r="AR4" s="3782"/>
      <c r="AS4" s="3783"/>
      <c r="AT4" s="3781"/>
      <c r="AU4" s="3782"/>
      <c r="AV4" s="3782"/>
      <c r="AW4" s="3782"/>
      <c r="AX4" s="3782"/>
      <c r="AY4" s="3782"/>
      <c r="AZ4" s="3782"/>
      <c r="BA4" s="3783"/>
      <c r="BB4" s="3781"/>
      <c r="BC4" s="3782"/>
      <c r="BD4" s="3782"/>
      <c r="BE4" s="3782"/>
      <c r="BF4" s="3782"/>
      <c r="BG4" s="3782"/>
      <c r="BH4" s="3782"/>
      <c r="BI4" s="3783"/>
      <c r="BJ4" s="3781"/>
      <c r="BK4" s="3782"/>
      <c r="BL4" s="3782"/>
      <c r="BM4" s="3782"/>
      <c r="BN4" s="3782"/>
      <c r="BO4" s="3782"/>
      <c r="BP4" s="3782"/>
      <c r="BQ4" s="3783"/>
      <c r="BR4" s="3781"/>
      <c r="BS4" s="3782"/>
      <c r="BT4" s="3782"/>
      <c r="BU4" s="3782"/>
      <c r="BV4" s="3782"/>
      <c r="BW4" s="3782"/>
      <c r="BX4" s="3782"/>
      <c r="BY4" s="6521"/>
      <c r="BZ4" s="2309"/>
      <c r="CA4" s="1323" t="s">
        <v>409</v>
      </c>
      <c r="CC4" s="565"/>
      <c r="CD4" s="565" t="str">
        <f>IF(T4="","",T4)</f>
        <v>Наименование системы теплоснабжения </v>
      </c>
      <c r="CE4" s="565"/>
      <c r="CF4" s="565"/>
      <c r="CG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781"/>
      <c r="AM5" s="3782"/>
      <c r="AN5" s="3782"/>
      <c r="AO5" s="3782"/>
      <c r="AP5" s="3782"/>
      <c r="AQ5" s="3782"/>
      <c r="AR5" s="3782"/>
      <c r="AS5" s="3783"/>
      <c r="AT5" s="3781"/>
      <c r="AU5" s="3782"/>
      <c r="AV5" s="3782"/>
      <c r="AW5" s="3782"/>
      <c r="AX5" s="3782"/>
      <c r="AY5" s="3782"/>
      <c r="AZ5" s="3782"/>
      <c r="BA5" s="3783"/>
      <c r="BB5" s="3781"/>
      <c r="BC5" s="3782"/>
      <c r="BD5" s="3782"/>
      <c r="BE5" s="3782"/>
      <c r="BF5" s="3782"/>
      <c r="BG5" s="3782"/>
      <c r="BH5" s="3782"/>
      <c r="BI5" s="3783"/>
      <c r="BJ5" s="3781"/>
      <c r="BK5" s="3782"/>
      <c r="BL5" s="3782"/>
      <c r="BM5" s="3782"/>
      <c r="BN5" s="3782"/>
      <c r="BO5" s="3782"/>
      <c r="BP5" s="3782"/>
      <c r="BQ5" s="3783"/>
      <c r="BR5" s="3781"/>
      <c r="BS5" s="3782"/>
      <c r="BT5" s="3782"/>
      <c r="BU5" s="3782"/>
      <c r="BV5" s="3782"/>
      <c r="BW5" s="3782"/>
      <c r="BX5" s="3782"/>
      <c r="BY5" s="6521"/>
      <c r="BZ5" s="2309"/>
      <c r="CA5" s="1323" t="s">
        <v>411</v>
      </c>
      <c r="CC5" s="565"/>
      <c r="CD5" s="565" t="str">
        <f>IF(T5="","",T5)</f>
        <v>Источник тепловой энергии  </v>
      </c>
      <c r="CE5" s="565"/>
      <c r="CF5" s="565"/>
      <c r="CG5" s="1220">
        <v>0</v>
      </c>
    </row>
    <row customHeight="1" ht="14.25" hidden="1">
      <c r="A6" s="1428"/>
      <c r="B6" s="1428"/>
      <c r="C6" s="1428"/>
      <c r="D6" s="1428"/>
      <c r="E6" s="2324"/>
      <c r="F6" s="2324"/>
      <c r="G6" s="2324"/>
      <c r="H6" s="2324"/>
      <c r="I6" s="2321">
        <f>S5&amp;".1"</f>
      </c>
      <c r="J6" s="1428"/>
      <c r="K6" s="1428"/>
      <c r="L6" s="1429" t="s">
        <v>412</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4633"/>
      <c r="AM6" s="4634"/>
      <c r="AN6" s="4634"/>
      <c r="AO6" s="4634"/>
      <c r="AP6" s="4634"/>
      <c r="AQ6" s="4634"/>
      <c r="AR6" s="4634"/>
      <c r="AS6" s="4635"/>
      <c r="AT6" s="4633"/>
      <c r="AU6" s="4634"/>
      <c r="AV6" s="4634"/>
      <c r="AW6" s="4634"/>
      <c r="AX6" s="4634"/>
      <c r="AY6" s="4634"/>
      <c r="AZ6" s="4634"/>
      <c r="BA6" s="4635"/>
      <c r="BB6" s="4633"/>
      <c r="BC6" s="4634"/>
      <c r="BD6" s="4634"/>
      <c r="BE6" s="4634"/>
      <c r="BF6" s="4634"/>
      <c r="BG6" s="4634"/>
      <c r="BH6" s="4634"/>
      <c r="BI6" s="4635"/>
      <c r="BJ6" s="4633"/>
      <c r="BK6" s="4634"/>
      <c r="BL6" s="4634"/>
      <c r="BM6" s="4634"/>
      <c r="BN6" s="4634"/>
      <c r="BO6" s="4634"/>
      <c r="BP6" s="4634"/>
      <c r="BQ6" s="4635"/>
      <c r="BR6" s="4633"/>
      <c r="BS6" s="4634"/>
      <c r="BT6" s="4634"/>
      <c r="BU6" s="4634"/>
      <c r="BV6" s="4634"/>
      <c r="BW6" s="4634"/>
      <c r="BX6" s="4634"/>
      <c r="BY6" s="6550"/>
      <c r="BZ6" s="2363"/>
      <c r="CA6" s="1450"/>
      <c r="CC6" s="565"/>
      <c r="CD6" s="565" t="str">
        <f>IF(T6="","",T6)</f>
        <v/>
      </c>
      <c r="CE6" s="565"/>
      <c r="CF6" s="565"/>
      <c r="CG6" s="1220">
        <v>0</v>
      </c>
    </row>
    <row customHeight="1" ht="21" hidden="1">
      <c r="A7" s="1428"/>
      <c r="B7" s="1428"/>
      <c r="C7" s="1428"/>
      <c r="D7" s="1428"/>
      <c r="E7" s="2324"/>
      <c r="F7" s="2324"/>
      <c r="G7" s="2324"/>
      <c r="H7" s="2324"/>
      <c r="I7" s="2351"/>
      <c r="J7" s="2321">
        <f>I6&amp;".1"</f>
      </c>
      <c r="K7" s="1428"/>
      <c r="L7" s="1429" t="s">
        <v>415</v>
      </c>
      <c r="M7" s="602"/>
      <c r="N7" s="1431"/>
      <c r="P7" s="2322"/>
      <c r="Q7" s="2322">
        <v>1</v>
      </c>
      <c r="R7" s="422"/>
      <c r="S7" s="1401">
        <f>$J7</f>
      </c>
      <c r="T7" s="351" t="s">
        <v>416</v>
      </c>
      <c r="U7" s="365"/>
      <c r="V7" s="2310"/>
      <c r="W7" s="2311"/>
      <c r="X7" s="2311"/>
      <c r="Y7" s="2311"/>
      <c r="Z7" s="2311"/>
      <c r="AA7" s="2311"/>
      <c r="AB7" s="2311"/>
      <c r="AC7" s="2312"/>
      <c r="AD7" s="2310"/>
      <c r="AE7" s="2311"/>
      <c r="AF7" s="2311"/>
      <c r="AG7" s="2311"/>
      <c r="AH7" s="2311"/>
      <c r="AI7" s="2311"/>
      <c r="AJ7" s="2311"/>
      <c r="AK7" s="2311"/>
      <c r="AL7" s="3786"/>
      <c r="AM7" s="3787"/>
      <c r="AN7" s="3787"/>
      <c r="AO7" s="3787"/>
      <c r="AP7" s="3787"/>
      <c r="AQ7" s="3787"/>
      <c r="AR7" s="3787"/>
      <c r="AS7" s="3788"/>
      <c r="AT7" s="3786"/>
      <c r="AU7" s="3787"/>
      <c r="AV7" s="3787"/>
      <c r="AW7" s="3787"/>
      <c r="AX7" s="3787"/>
      <c r="AY7" s="3787"/>
      <c r="AZ7" s="3787"/>
      <c r="BA7" s="3788"/>
      <c r="BB7" s="3786"/>
      <c r="BC7" s="3787"/>
      <c r="BD7" s="3787"/>
      <c r="BE7" s="3787"/>
      <c r="BF7" s="3787"/>
      <c r="BG7" s="3787"/>
      <c r="BH7" s="3787"/>
      <c r="BI7" s="3788"/>
      <c r="BJ7" s="3786"/>
      <c r="BK7" s="3787"/>
      <c r="BL7" s="3787"/>
      <c r="BM7" s="3787"/>
      <c r="BN7" s="3787"/>
      <c r="BO7" s="3787"/>
      <c r="BP7" s="3787"/>
      <c r="BQ7" s="3788"/>
      <c r="BR7" s="3786"/>
      <c r="BS7" s="3787"/>
      <c r="BT7" s="3787"/>
      <c r="BU7" s="3787"/>
      <c r="BV7" s="3787"/>
      <c r="BW7" s="3787"/>
      <c r="BX7" s="3787"/>
      <c r="BY7" s="6522"/>
      <c r="BZ7" s="2312"/>
      <c r="CA7" s="1323" t="s">
        <v>417</v>
      </c>
      <c r="CC7" s="565"/>
      <c r="CD7" s="565" t="str">
        <f>IF(T7="","",T7)</f>
        <v>Группа потребителей</v>
      </c>
      <c r="CE7" s="565"/>
      <c r="CF7" s="565"/>
      <c r="CG7" s="1220">
        <v>0</v>
      </c>
    </row>
    <row customHeight="1" ht="21" hidden="1">
      <c r="A8" s="1428"/>
      <c r="B8" s="1428"/>
      <c r="C8" s="1428"/>
      <c r="D8" s="1428"/>
      <c r="E8" s="2324"/>
      <c r="F8" s="2324"/>
      <c r="G8" s="2324"/>
      <c r="H8" s="2324"/>
      <c r="I8" s="2351"/>
      <c r="J8" s="2351"/>
      <c r="K8" s="2321">
        <f>J7&amp;".1"</f>
      </c>
      <c r="L8" s="1429" t="s">
        <v>418</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789"/>
      <c r="AM8" s="3790"/>
      <c r="AN8" s="3789"/>
      <c r="AO8" s="3791"/>
      <c r="AP8" s="3792"/>
      <c r="AQ8" s="3121" t="s">
        <v>64</v>
      </c>
      <c r="AR8" s="3792"/>
      <c r="AS8" s="3121" t="s">
        <v>64</v>
      </c>
      <c r="AT8" s="3789"/>
      <c r="AU8" s="3790"/>
      <c r="AV8" s="3789"/>
      <c r="AW8" s="3791"/>
      <c r="AX8" s="3792"/>
      <c r="AY8" s="3121" t="s">
        <v>64</v>
      </c>
      <c r="AZ8" s="3792"/>
      <c r="BA8" s="3121" t="s">
        <v>64</v>
      </c>
      <c r="BB8" s="3789"/>
      <c r="BC8" s="3790"/>
      <c r="BD8" s="3789"/>
      <c r="BE8" s="3791"/>
      <c r="BF8" s="3792"/>
      <c r="BG8" s="3121" t="s">
        <v>64</v>
      </c>
      <c r="BH8" s="3792"/>
      <c r="BI8" s="3121" t="s">
        <v>64</v>
      </c>
      <c r="BJ8" s="3789"/>
      <c r="BK8" s="3790"/>
      <c r="BL8" s="3789"/>
      <c r="BM8" s="3791"/>
      <c r="BN8" s="3792"/>
      <c r="BO8" s="3121" t="s">
        <v>64</v>
      </c>
      <c r="BP8" s="3792"/>
      <c r="BQ8" s="3121" t="s">
        <v>64</v>
      </c>
      <c r="BR8" s="3789"/>
      <c r="BS8" s="3790"/>
      <c r="BT8" s="3789"/>
      <c r="BU8" s="3791"/>
      <c r="BV8" s="3792"/>
      <c r="BW8" s="3121" t="s">
        <v>64</v>
      </c>
      <c r="BX8" s="3792"/>
      <c r="BY8" s="3121" t="s">
        <v>64</v>
      </c>
      <c r="BZ8" s="390"/>
      <c r="CA8" s="2318" t="s">
        <v>419</v>
      </c>
      <c r="CB8" s="576">
        <f>STRCHECKDATE(V9:BZ9)</f>
      </c>
      <c r="CC8" s="565"/>
      <c r="CD8" s="565" t="str">
        <f>IF(T8="","",T8)</f>
        <v/>
      </c>
      <c r="CE8" s="565"/>
      <c r="CF8" s="565"/>
      <c r="CG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790"/>
      <c r="AM9" s="3790"/>
      <c r="AN9" s="3790"/>
      <c r="AO9" s="3794" t="str">
        <f>AP8&amp;"-"&amp;AR8</f>
        <v>-</v>
      </c>
      <c r="AP9" s="3795"/>
      <c r="AQ9" s="3121"/>
      <c r="AR9" s="3795"/>
      <c r="AS9" s="3121"/>
      <c r="AT9" s="3790"/>
      <c r="AU9" s="3790"/>
      <c r="AV9" s="3790"/>
      <c r="AW9" s="3794" t="str">
        <f>AX8&amp;"-"&amp;AZ8</f>
        <v>-</v>
      </c>
      <c r="AX9" s="3795"/>
      <c r="AY9" s="3121"/>
      <c r="AZ9" s="3795"/>
      <c r="BA9" s="3121"/>
      <c r="BB9" s="3790"/>
      <c r="BC9" s="3790"/>
      <c r="BD9" s="3790"/>
      <c r="BE9" s="3794" t="str">
        <f>BF8&amp;"-"&amp;BH8</f>
        <v>-</v>
      </c>
      <c r="BF9" s="3795"/>
      <c r="BG9" s="3121"/>
      <c r="BH9" s="3795"/>
      <c r="BI9" s="3121"/>
      <c r="BJ9" s="3790"/>
      <c r="BK9" s="3790"/>
      <c r="BL9" s="3790"/>
      <c r="BM9" s="3794" t="str">
        <f>BN8&amp;"-"&amp;BP8</f>
        <v>-</v>
      </c>
      <c r="BN9" s="3795"/>
      <c r="BO9" s="3121"/>
      <c r="BP9" s="3795"/>
      <c r="BQ9" s="3121"/>
      <c r="BR9" s="3790"/>
      <c r="BS9" s="3790"/>
      <c r="BT9" s="3790"/>
      <c r="BU9" s="3794" t="str">
        <f>BV8&amp;"-"&amp;BX8</f>
        <v>-</v>
      </c>
      <c r="BV9" s="3795"/>
      <c r="BW9" s="3121"/>
      <c r="BX9" s="3795"/>
      <c r="BY9" s="3121"/>
      <c r="BZ9" s="390"/>
      <c r="CA9" s="2319"/>
      <c r="CC9" s="565"/>
      <c r="CD9" s="565" t="str">
        <f>IF(T9="","",T9)</f>
        <v/>
      </c>
      <c r="CE9" s="565"/>
      <c r="CF9" s="565"/>
      <c r="CG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420</v>
      </c>
      <c r="U10" s="432"/>
      <c r="V10" s="432"/>
      <c r="W10" s="432"/>
      <c r="X10" s="432"/>
      <c r="Y10" s="432"/>
      <c r="Z10" s="432"/>
      <c r="AA10" s="432"/>
      <c r="AB10" s="432"/>
      <c r="AC10" s="432"/>
      <c r="AD10" s="432"/>
      <c r="AE10" s="432"/>
      <c r="AF10" s="432"/>
      <c r="AG10" s="432"/>
      <c r="AH10" s="432"/>
      <c r="AI10" s="432"/>
      <c r="AJ10" s="432"/>
      <c r="AK10" s="432"/>
      <c r="AL10" s="4637"/>
      <c r="AM10" s="4638"/>
      <c r="AN10" s="4639"/>
      <c r="AO10" s="4640"/>
      <c r="AP10" s="4641"/>
      <c r="AQ10" s="4642"/>
      <c r="AR10" s="4643"/>
      <c r="AS10" s="4644"/>
      <c r="AT10" s="4645"/>
      <c r="AU10" s="4646"/>
      <c r="AV10" s="4647"/>
      <c r="AW10" s="4648"/>
      <c r="AX10" s="4649"/>
      <c r="AY10" s="4650"/>
      <c r="AZ10" s="4651"/>
      <c r="BA10" s="4652"/>
      <c r="BB10" s="4653"/>
      <c r="BC10" s="4654"/>
      <c r="BD10" s="4655"/>
      <c r="BE10" s="4656"/>
      <c r="BF10" s="4657"/>
      <c r="BG10" s="4658"/>
      <c r="BH10" s="4659"/>
      <c r="BI10" s="4660"/>
      <c r="BJ10" s="4661"/>
      <c r="BK10" s="4662"/>
      <c r="BL10" s="4663"/>
      <c r="BM10" s="4664"/>
      <c r="BN10" s="4665"/>
      <c r="BO10" s="4666"/>
      <c r="BP10" s="4667"/>
      <c r="BQ10" s="4668"/>
      <c r="BR10" s="4669"/>
      <c r="BS10" s="4670"/>
      <c r="BT10" s="4671"/>
      <c r="BU10" s="4672"/>
      <c r="BV10" s="4673"/>
      <c r="BW10" s="4674"/>
      <c r="BX10" s="4675"/>
      <c r="BY10" s="6551"/>
      <c r="BZ10" s="389"/>
      <c r="CA10" s="2320"/>
      <c r="CC10" s="565"/>
      <c r="CD10" s="565" t="str">
        <f>IF(T10="","",T10)</f>
        <v>Добавить вид теплоносителя (параметры теплоносителя)</v>
      </c>
      <c r="CE10" s="565"/>
      <c r="CF10" s="565"/>
      <c r="CG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421</v>
      </c>
      <c r="U11" s="432"/>
      <c r="V11" s="432"/>
      <c r="W11" s="432"/>
      <c r="X11" s="432"/>
      <c r="Y11" s="432"/>
      <c r="Z11" s="432"/>
      <c r="AA11" s="432"/>
      <c r="AB11" s="432"/>
      <c r="AC11" s="431"/>
      <c r="AD11" s="432"/>
      <c r="AE11" s="432"/>
      <c r="AF11" s="432"/>
      <c r="AG11" s="432"/>
      <c r="AH11" s="432"/>
      <c r="AI11" s="432"/>
      <c r="AJ11" s="432"/>
      <c r="AK11" s="431"/>
      <c r="AL11" s="4677"/>
      <c r="AM11" s="4678"/>
      <c r="AN11" s="4679"/>
      <c r="AO11" s="4680"/>
      <c r="AP11" s="4681"/>
      <c r="AQ11" s="4682"/>
      <c r="AR11" s="4683"/>
      <c r="AS11" s="4684"/>
      <c r="AT11" s="4685"/>
      <c r="AU11" s="4686"/>
      <c r="AV11" s="4687"/>
      <c r="AW11" s="4688"/>
      <c r="AX11" s="4689"/>
      <c r="AY11" s="4690"/>
      <c r="AZ11" s="4691"/>
      <c r="BA11" s="4692"/>
      <c r="BB11" s="4693"/>
      <c r="BC11" s="4694"/>
      <c r="BD11" s="4695"/>
      <c r="BE11" s="4696"/>
      <c r="BF11" s="4697"/>
      <c r="BG11" s="4698"/>
      <c r="BH11" s="4699"/>
      <c r="BI11" s="4700"/>
      <c r="BJ11" s="4701"/>
      <c r="BK11" s="4702"/>
      <c r="BL11" s="4703"/>
      <c r="BM11" s="4704"/>
      <c r="BN11" s="4705"/>
      <c r="BO11" s="4706"/>
      <c r="BP11" s="4707"/>
      <c r="BQ11" s="4708"/>
      <c r="BR11" s="4709"/>
      <c r="BS11" s="4710"/>
      <c r="BT11" s="4711"/>
      <c r="BU11" s="4712"/>
      <c r="BV11" s="4713"/>
      <c r="BW11" s="4714"/>
      <c r="BX11" s="4715"/>
      <c r="BY11" s="6552"/>
      <c r="BZ11" s="432"/>
      <c r="CA11" s="368"/>
      <c r="CC11" s="565"/>
      <c r="CD11" s="565" t="str">
        <f>IF(T11="","",T11)</f>
        <v>Добавить группу потребителей</v>
      </c>
      <c r="CE11" s="565"/>
      <c r="CF11" s="565"/>
      <c r="CG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4720"/>
      <c r="AM12" s="4720"/>
      <c r="AN12" s="4720"/>
      <c r="AO12" s="4720"/>
      <c r="AP12" s="4720"/>
      <c r="AQ12" s="4720"/>
      <c r="AR12" s="4720"/>
      <c r="AS12" s="4720"/>
      <c r="AT12" s="4720"/>
      <c r="AU12" s="4720"/>
      <c r="AV12" s="4720"/>
      <c r="AW12" s="4720"/>
      <c r="AX12" s="4720"/>
      <c r="AY12" s="4720"/>
      <c r="AZ12" s="4720"/>
      <c r="BA12" s="4720"/>
      <c r="BB12" s="4720"/>
      <c r="BC12" s="4720"/>
      <c r="BD12" s="4720"/>
      <c r="BE12" s="4720"/>
      <c r="BF12" s="4720"/>
      <c r="BG12" s="4720"/>
      <c r="BH12" s="4720"/>
      <c r="BI12" s="4720"/>
      <c r="BJ12" s="4720"/>
      <c r="BK12" s="4720"/>
      <c r="BL12" s="4720"/>
      <c r="BM12" s="4720"/>
      <c r="BN12" s="4720"/>
      <c r="BO12" s="4720"/>
      <c r="BP12" s="4720"/>
      <c r="BQ12" s="4720"/>
      <c r="BR12" s="4720"/>
      <c r="BS12" s="4720"/>
      <c r="BT12" s="4720"/>
      <c r="BU12" s="4720"/>
      <c r="BV12" s="4720"/>
      <c r="BW12" s="4720"/>
      <c r="BX12" s="4720"/>
      <c r="BY12" s="6553"/>
      <c r="BZ12" s="1453"/>
      <c r="CA12" s="1454"/>
      <c r="CC12" s="565"/>
      <c r="CD12" s="565" t="str">
        <f>IF(T12="","",T12)</f>
        <v/>
      </c>
      <c r="CE12" s="565"/>
      <c r="CF12" s="565"/>
      <c r="CG12" s="1220">
        <v>0</v>
      </c>
    </row>
    <row s="5305"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3964"/>
      <c r="AM13" s="3964"/>
      <c r="AN13" s="3964"/>
      <c r="AO13" s="3964"/>
      <c r="AP13" s="3964"/>
      <c r="AQ13" s="3964"/>
      <c r="AR13" s="3964"/>
      <c r="AS13" s="3964"/>
      <c r="AT13" s="3964"/>
      <c r="AU13" s="3964"/>
      <c r="AV13" s="3964"/>
      <c r="AW13" s="3964"/>
      <c r="AX13" s="3964"/>
      <c r="AY13" s="3964"/>
      <c r="AZ13" s="3964"/>
      <c r="BA13" s="3964"/>
      <c r="BB13" s="3964"/>
      <c r="BC13" s="3964"/>
      <c r="BD13" s="3964"/>
      <c r="BE13" s="3964"/>
      <c r="BF13" s="3964"/>
      <c r="BG13" s="3964"/>
      <c r="BH13" s="3964"/>
      <c r="BI13" s="3964"/>
      <c r="BJ13" s="3964"/>
      <c r="BK13" s="3964"/>
      <c r="BL13" s="3964"/>
      <c r="BM13" s="3964"/>
      <c r="BN13" s="3964"/>
      <c r="BO13" s="3964"/>
      <c r="BP13" s="3964"/>
      <c r="BQ13" s="3964"/>
      <c r="BR13" s="3964"/>
      <c r="BS13" s="3964"/>
      <c r="BT13" s="3964"/>
      <c r="BU13" s="3964"/>
      <c r="BV13" s="3964"/>
      <c r="BW13" s="3964"/>
      <c r="BX13" s="3964"/>
      <c r="BY13" s="3964"/>
      <c r="BZ13" s="1385"/>
      <c r="CA13" s="1385"/>
      <c r="CC13" s="854"/>
      <c r="CD13" s="854" t="str">
        <f>IF(T13="","",T13)</f>
        <v>Добавить источник для дифференциации</v>
      </c>
      <c r="CE13" s="854"/>
      <c r="CF13" s="854"/>
      <c r="CG13" s="583">
        <v>0</v>
      </c>
    </row>
    <row s="5305"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3965"/>
      <c r="AM14" s="3965"/>
      <c r="AN14" s="3965"/>
      <c r="AO14" s="3965"/>
      <c r="AP14" s="3965"/>
      <c r="AQ14" s="3965"/>
      <c r="AR14" s="3965"/>
      <c r="AS14" s="3965"/>
      <c r="AT14" s="3965"/>
      <c r="AU14" s="3965"/>
      <c r="AV14" s="3965"/>
      <c r="AW14" s="3965"/>
      <c r="AX14" s="3965"/>
      <c r="AY14" s="3965"/>
      <c r="AZ14" s="3965"/>
      <c r="BA14" s="3965"/>
      <c r="BB14" s="3965"/>
      <c r="BC14" s="3965"/>
      <c r="BD14" s="3965"/>
      <c r="BE14" s="3965"/>
      <c r="BF14" s="3965"/>
      <c r="BG14" s="3965"/>
      <c r="BH14" s="3965"/>
      <c r="BI14" s="3965"/>
      <c r="BJ14" s="3965"/>
      <c r="BK14" s="3965"/>
      <c r="BL14" s="3965"/>
      <c r="BM14" s="3965"/>
      <c r="BN14" s="3965"/>
      <c r="BO14" s="3965"/>
      <c r="BP14" s="3965"/>
      <c r="BQ14" s="3965"/>
      <c r="BR14" s="3965"/>
      <c r="BS14" s="3965"/>
      <c r="BT14" s="3965"/>
      <c r="BU14" s="3965"/>
      <c r="BV14" s="3965"/>
      <c r="BW14" s="3965"/>
      <c r="BX14" s="3965"/>
      <c r="BY14" s="3965"/>
      <c r="BZ14" s="1389"/>
      <c r="CA14" s="1389"/>
      <c r="CC14" s="854"/>
      <c r="CD14" s="854" t="str">
        <f>IF(T14="","",T14)</f>
        <v>Добавить централизованную систему для дифференциации</v>
      </c>
      <c r="CE14" s="854"/>
      <c r="CF14" s="854"/>
      <c r="CG14" s="583">
        <v>0</v>
      </c>
    </row>
    <row s="5305"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3965"/>
      <c r="AM15" s="3965"/>
      <c r="AN15" s="3965"/>
      <c r="AO15" s="3965"/>
      <c r="AP15" s="3965"/>
      <c r="AQ15" s="3965"/>
      <c r="AR15" s="3965"/>
      <c r="AS15" s="3965"/>
      <c r="AT15" s="3965"/>
      <c r="AU15" s="3965"/>
      <c r="AV15" s="3965"/>
      <c r="AW15" s="3965"/>
      <c r="AX15" s="3965"/>
      <c r="AY15" s="3965"/>
      <c r="AZ15" s="3965"/>
      <c r="BA15" s="3965"/>
      <c r="BB15" s="3965"/>
      <c r="BC15" s="3965"/>
      <c r="BD15" s="3965"/>
      <c r="BE15" s="3965"/>
      <c r="BF15" s="3965"/>
      <c r="BG15" s="3965"/>
      <c r="BH15" s="3965"/>
      <c r="BI15" s="3965"/>
      <c r="BJ15" s="3965"/>
      <c r="BK15" s="3965"/>
      <c r="BL15" s="3965"/>
      <c r="BM15" s="3965"/>
      <c r="BN15" s="3965"/>
      <c r="BO15" s="3965"/>
      <c r="BP15" s="3965"/>
      <c r="BQ15" s="3965"/>
      <c r="BR15" s="3965"/>
      <c r="BS15" s="3965"/>
      <c r="BT15" s="3965"/>
      <c r="BU15" s="3965"/>
      <c r="BV15" s="3965"/>
      <c r="BW15" s="3965"/>
      <c r="BX15" s="3965"/>
      <c r="BY15" s="3965"/>
      <c r="BZ15" s="1389"/>
      <c r="CA15" s="1389"/>
      <c r="CC15" s="854"/>
      <c r="CD15" s="854" t="str">
        <f>IF(T15="","",T15)</f>
        <v>Добавить территорию для дифференциации</v>
      </c>
      <c r="CE15" s="854"/>
      <c r="CF15" s="854"/>
      <c r="CG15" s="583">
        <v>0</v>
      </c>
    </row>
    <row customHeight="1" ht="14.25" hidden="1">
      <c r="AC16" s="392"/>
      <c r="AK16" s="392"/>
      <c r="AL16" s="3779"/>
      <c r="AM16" s="3779"/>
      <c r="AN16" s="3779"/>
      <c r="AO16" s="3779"/>
      <c r="AP16" s="3779"/>
      <c r="AQ16" s="3779"/>
      <c r="AR16" s="3779"/>
      <c r="AS16" s="3779"/>
      <c r="AT16" s="3779"/>
      <c r="AU16" s="3779"/>
      <c r="AV16" s="3779"/>
      <c r="AW16" s="3779"/>
      <c r="AX16" s="3779"/>
      <c r="AY16" s="3779"/>
      <c r="AZ16" s="3779"/>
      <c r="BA16" s="3779"/>
      <c r="BB16" s="3779"/>
      <c r="BC16" s="3779"/>
      <c r="BD16" s="3779"/>
      <c r="BE16" s="3779"/>
      <c r="BF16" s="3779"/>
      <c r="BG16" s="3779"/>
      <c r="BH16" s="3779"/>
      <c r="BI16" s="3779"/>
      <c r="BJ16" s="3779"/>
      <c r="BK16" s="3779"/>
      <c r="BL16" s="3779"/>
      <c r="BM16" s="3779"/>
      <c r="BN16" s="3779"/>
      <c r="BO16" s="3779"/>
      <c r="BP16" s="3779"/>
      <c r="BQ16" s="3779"/>
      <c r="BR16" s="3779"/>
      <c r="BS16" s="3779"/>
      <c r="BT16" s="3779"/>
      <c r="BU16" s="3779"/>
      <c r="BV16" s="3779"/>
      <c r="BW16" s="3779"/>
      <c r="BX16" s="3779"/>
      <c r="BY16" s="6520"/>
      <c r="CG16" s="1220">
        <v>0</v>
      </c>
    </row>
    <row customHeight="1" ht="14.25" hidden="1">
      <c r="AD17" s="1425"/>
      <c r="AE17" s="1425"/>
      <c r="AF17" s="1425"/>
      <c r="AG17" s="1426"/>
      <c r="AH17" s="2332"/>
      <c r="AI17" s="2333" t="s">
        <v>64</v>
      </c>
      <c r="AJ17" s="2332"/>
      <c r="AK17" s="2333" t="s">
        <v>64</v>
      </c>
      <c r="AL17" s="3779"/>
      <c r="AM17" s="3779"/>
      <c r="AN17" s="3779"/>
      <c r="AO17" s="3779"/>
      <c r="AP17" s="3779"/>
      <c r="AQ17" s="3779"/>
      <c r="AR17" s="3779"/>
      <c r="AS17" s="3779"/>
      <c r="AT17" s="3779"/>
      <c r="AU17" s="3779"/>
      <c r="AV17" s="3779"/>
      <c r="AW17" s="3779"/>
      <c r="AX17" s="3779"/>
      <c r="AY17" s="3779"/>
      <c r="AZ17" s="3779"/>
      <c r="BA17" s="3779"/>
      <c r="BB17" s="3779"/>
      <c r="BC17" s="3779"/>
      <c r="BD17" s="3779"/>
      <c r="BE17" s="3779"/>
      <c r="BF17" s="3779"/>
      <c r="BG17" s="3779"/>
      <c r="BH17" s="3779"/>
      <c r="BI17" s="3779"/>
      <c r="BJ17" s="3779"/>
      <c r="BK17" s="3779"/>
      <c r="BL17" s="3779"/>
      <c r="BM17" s="3779"/>
      <c r="BN17" s="3779"/>
      <c r="BO17" s="3779"/>
      <c r="BP17" s="3779"/>
      <c r="BQ17" s="3779"/>
      <c r="BR17" s="3779"/>
      <c r="BS17" s="3779"/>
      <c r="BT17" s="3779"/>
      <c r="BU17" s="3779"/>
      <c r="BV17" s="3779"/>
      <c r="BW17" s="3779"/>
      <c r="BX17" s="3779"/>
      <c r="BY17" s="6520"/>
      <c r="CG17" s="1220">
        <v>0</v>
      </c>
    </row>
    <row customHeight="1" ht="14.25" hidden="1">
      <c r="AD18" s="1425"/>
      <c r="AE18" s="1425"/>
      <c r="AF18" s="1425"/>
      <c r="AG18" s="393" t="str">
        <f>AH17&amp;"-"&amp;AJ17</f>
        <v>-</v>
      </c>
      <c r="AH18" s="2333"/>
      <c r="AI18" s="2333"/>
      <c r="AJ18" s="2333"/>
      <c r="AK18" s="2333"/>
      <c r="AL18" s="3779"/>
      <c r="AM18" s="3779"/>
      <c r="AN18" s="3779"/>
      <c r="AO18" s="3779"/>
      <c r="AP18" s="3779"/>
      <c r="AQ18" s="3779"/>
      <c r="AR18" s="3779"/>
      <c r="AS18" s="3779"/>
      <c r="AT18" s="3779"/>
      <c r="AU18" s="3779"/>
      <c r="AV18" s="3779"/>
      <c r="AW18" s="3779"/>
      <c r="AX18" s="3779"/>
      <c r="AY18" s="3779"/>
      <c r="AZ18" s="3779"/>
      <c r="BA18" s="3779"/>
      <c r="BB18" s="3779"/>
      <c r="BC18" s="3779"/>
      <c r="BD18" s="3779"/>
      <c r="BE18" s="3779"/>
      <c r="BF18" s="3779"/>
      <c r="BG18" s="3779"/>
      <c r="BH18" s="3779"/>
      <c r="BI18" s="3779"/>
      <c r="BJ18" s="3779"/>
      <c r="BK18" s="3779"/>
      <c r="BL18" s="3779"/>
      <c r="BM18" s="3779"/>
      <c r="BN18" s="3779"/>
      <c r="BO18" s="3779"/>
      <c r="BP18" s="3779"/>
      <c r="BQ18" s="3779"/>
      <c r="BR18" s="3779"/>
      <c r="BS18" s="3779"/>
      <c r="BT18" s="3779"/>
      <c r="BU18" s="3779"/>
      <c r="BV18" s="3779"/>
      <c r="BW18" s="3779"/>
      <c r="BX18" s="3779"/>
      <c r="BY18" s="6520"/>
      <c r="CG18" s="1220">
        <v>0</v>
      </c>
    </row>
    <row customHeight="1" ht="14.25" hidden="1">
      <c r="AK19" s="392"/>
      <c r="AL19" s="3779"/>
      <c r="AM19" s="3779"/>
      <c r="AN19" s="3779"/>
      <c r="AO19" s="3779"/>
      <c r="AP19" s="3779"/>
      <c r="AQ19" s="3779"/>
      <c r="AR19" s="3779"/>
      <c r="AS19" s="3779"/>
      <c r="AT19" s="3779"/>
      <c r="AU19" s="3779"/>
      <c r="AV19" s="3779"/>
      <c r="AW19" s="3779"/>
      <c r="AX19" s="3779"/>
      <c r="AY19" s="3779"/>
      <c r="AZ19" s="3779"/>
      <c r="BA19" s="3779"/>
      <c r="BB19" s="3779"/>
      <c r="BC19" s="3779"/>
      <c r="BD19" s="3779"/>
      <c r="BE19" s="3779"/>
      <c r="BF19" s="3779"/>
      <c r="BG19" s="3779"/>
      <c r="BH19" s="3779"/>
      <c r="BI19" s="3779"/>
      <c r="BJ19" s="3779"/>
      <c r="BK19" s="3779"/>
      <c r="BL19" s="3779"/>
      <c r="BM19" s="3779"/>
      <c r="BN19" s="3779"/>
      <c r="BO19" s="3779"/>
      <c r="BP19" s="3779"/>
      <c r="BQ19" s="3779"/>
      <c r="BR19" s="3779"/>
      <c r="BS19" s="3779"/>
      <c r="BT19" s="3779"/>
      <c r="BU19" s="3779"/>
      <c r="BV19" s="3779"/>
      <c r="BW19" s="3779"/>
      <c r="BX19" s="3779"/>
      <c r="BY19" s="6520"/>
      <c r="CG19" s="1220">
        <v>0</v>
      </c>
    </row>
    <row s="5745" customFormat="1" customHeight="1" ht="22.5" hidden="1">
      <c r="L20" s="1394"/>
      <c r="M20" s="1427"/>
      <c r="N20" s="1427"/>
      <c r="O20" s="1432" t="s">
        <v>423</v>
      </c>
      <c r="P20" s="1427"/>
      <c r="Q20" s="1436"/>
      <c r="R20" s="1436"/>
      <c r="S20" s="794"/>
      <c r="Z20" s="1432"/>
      <c r="AB20" s="1432"/>
      <c r="AC20" s="1431"/>
      <c r="AH20" s="1432"/>
      <c r="AJ20" s="1432"/>
      <c r="AK20" s="1431"/>
      <c r="AL20" s="3966"/>
      <c r="AM20" s="3966"/>
      <c r="AN20" s="3966"/>
      <c r="AO20" s="3966"/>
      <c r="AP20" s="3967"/>
      <c r="AQ20" s="3966"/>
      <c r="AR20" s="3967"/>
      <c r="AS20" s="3966"/>
      <c r="AT20" s="3966"/>
      <c r="AU20" s="3966"/>
      <c r="AV20" s="3966"/>
      <c r="AW20" s="3966"/>
      <c r="AX20" s="3967"/>
      <c r="AY20" s="3966"/>
      <c r="AZ20" s="3967"/>
      <c r="BA20" s="3966"/>
      <c r="BB20" s="3966"/>
      <c r="BC20" s="3966"/>
      <c r="BD20" s="3966"/>
      <c r="BE20" s="3966"/>
      <c r="BF20" s="3967"/>
      <c r="BG20" s="3966"/>
      <c r="BH20" s="3967"/>
      <c r="BI20" s="3966"/>
      <c r="BJ20" s="3966"/>
      <c r="BK20" s="3966"/>
      <c r="BL20" s="3966"/>
      <c r="BM20" s="3966"/>
      <c r="BN20" s="3967"/>
      <c r="BO20" s="3966"/>
      <c r="BP20" s="3967"/>
      <c r="BQ20" s="3966"/>
      <c r="BR20" s="3966"/>
      <c r="BS20" s="3966"/>
      <c r="BT20" s="3966"/>
      <c r="BU20" s="3966"/>
      <c r="BV20" s="3967"/>
      <c r="BW20" s="3966"/>
      <c r="BX20" s="3967"/>
      <c r="BY20" s="6529"/>
      <c r="CB20" s="576"/>
      <c r="CC20" s="576"/>
      <c r="CD20" s="576"/>
      <c r="CE20" s="576"/>
      <c r="CF20" s="576"/>
      <c r="CG20" s="1225">
        <v>0</v>
      </c>
    </row>
    <row s="5745" customFormat="1" customHeight="1" ht="14.25" hidden="1">
      <c r="L21" s="1394"/>
      <c r="M21" s="1427"/>
      <c r="N21" s="1427"/>
      <c r="O21" s="1427"/>
      <c r="P21" s="1427"/>
      <c r="Q21" s="1436"/>
      <c r="R21" s="1436"/>
      <c r="S21" s="794"/>
      <c r="AC21" s="1431"/>
      <c r="AK21" s="1431"/>
      <c r="AL21" s="3966"/>
      <c r="AM21" s="3966"/>
      <c r="AN21" s="3966"/>
      <c r="AO21" s="3966"/>
      <c r="AP21" s="3966"/>
      <c r="AQ21" s="3966"/>
      <c r="AR21" s="3966"/>
      <c r="AS21" s="3966"/>
      <c r="AT21" s="3966"/>
      <c r="AU21" s="3966"/>
      <c r="AV21" s="3966"/>
      <c r="AW21" s="3966"/>
      <c r="AX21" s="3966"/>
      <c r="AY21" s="3966"/>
      <c r="AZ21" s="3966"/>
      <c r="BA21" s="3966"/>
      <c r="BB21" s="3966"/>
      <c r="BC21" s="3966"/>
      <c r="BD21" s="3966"/>
      <c r="BE21" s="3966"/>
      <c r="BF21" s="3966"/>
      <c r="BG21" s="3966"/>
      <c r="BH21" s="3966"/>
      <c r="BI21" s="3966"/>
      <c r="BJ21" s="3966"/>
      <c r="BK21" s="3966"/>
      <c r="BL21" s="3966"/>
      <c r="BM21" s="3966"/>
      <c r="BN21" s="3966"/>
      <c r="BO21" s="3966"/>
      <c r="BP21" s="3966"/>
      <c r="BQ21" s="3966"/>
      <c r="BR21" s="3966"/>
      <c r="BS21" s="3966"/>
      <c r="BT21" s="3966"/>
      <c r="BU21" s="3966"/>
      <c r="BV21" s="3966"/>
      <c r="BW21" s="3966"/>
      <c r="BX21" s="3966"/>
      <c r="BY21" s="6529"/>
      <c r="CB21" s="576"/>
      <c r="CC21" s="576"/>
      <c r="CD21" s="576"/>
      <c r="CE21" s="576"/>
      <c r="CF21" s="576"/>
      <c r="CG21" s="1225">
        <v>0</v>
      </c>
    </row>
    <row s="5745" customFormat="1" customHeight="1" ht="14.25" hidden="1">
      <c r="L22" s="1394"/>
      <c r="M22" s="1427"/>
      <c r="N22" s="1427"/>
      <c r="O22" s="1429" t="s">
        <v>424</v>
      </c>
      <c r="P22" s="1427"/>
      <c r="Q22" s="1436"/>
      <c r="R22" s="1436"/>
      <c r="S22" s="794"/>
      <c r="T22" s="1225" t="s">
        <v>425</v>
      </c>
      <c r="AA22" s="251" t="s">
        <v>426</v>
      </c>
      <c r="AC22" s="251" t="s">
        <v>427</v>
      </c>
      <c r="AD22" s="1225" t="s">
        <v>425</v>
      </c>
      <c r="AI22" s="251" t="s">
        <v>428</v>
      </c>
      <c r="AK22" s="251" t="s">
        <v>427</v>
      </c>
      <c r="AL22" s="3966"/>
      <c r="AM22" s="3966"/>
      <c r="AN22" s="3966"/>
      <c r="AO22" s="3966"/>
      <c r="AP22" s="3966"/>
      <c r="AQ22" s="3968" t="s">
        <v>426</v>
      </c>
      <c r="AR22" s="3966"/>
      <c r="AS22" s="3968" t="s">
        <v>427</v>
      </c>
      <c r="AT22" s="3966"/>
      <c r="AU22" s="3966"/>
      <c r="AV22" s="3966"/>
      <c r="AW22" s="3966"/>
      <c r="AX22" s="3966"/>
      <c r="AY22" s="3968" t="s">
        <v>426</v>
      </c>
      <c r="AZ22" s="3966"/>
      <c r="BA22" s="3968" t="s">
        <v>427</v>
      </c>
      <c r="BB22" s="3966"/>
      <c r="BC22" s="3966"/>
      <c r="BD22" s="3966"/>
      <c r="BE22" s="3966"/>
      <c r="BF22" s="3966"/>
      <c r="BG22" s="3968" t="s">
        <v>426</v>
      </c>
      <c r="BH22" s="3966"/>
      <c r="BI22" s="3968" t="s">
        <v>427</v>
      </c>
      <c r="BJ22" s="3966"/>
      <c r="BK22" s="3966"/>
      <c r="BL22" s="3966"/>
      <c r="BM22" s="3966"/>
      <c r="BN22" s="3966"/>
      <c r="BO22" s="3968" t="s">
        <v>426</v>
      </c>
      <c r="BP22" s="3966"/>
      <c r="BQ22" s="3968" t="s">
        <v>427</v>
      </c>
      <c r="BR22" s="3966"/>
      <c r="BS22" s="3966"/>
      <c r="BT22" s="3966"/>
      <c r="BU22" s="3966"/>
      <c r="BV22" s="3966"/>
      <c r="BW22" s="3968" t="s">
        <v>426</v>
      </c>
      <c r="BX22" s="3966"/>
      <c r="BY22" s="6530" t="s">
        <v>427</v>
      </c>
      <c r="CB22" s="576"/>
      <c r="CC22" s="576"/>
      <c r="CD22" s="576"/>
      <c r="CE22" s="576"/>
      <c r="CF22" s="576"/>
      <c r="CG22" s="1225">
        <v>0</v>
      </c>
    </row>
    <row customHeight="1" ht="14.25" hidden="1">
      <c r="O23" s="1429"/>
      <c r="AL23" s="3779"/>
      <c r="AM23" s="3779"/>
      <c r="AN23" s="3779"/>
      <c r="AO23" s="3779"/>
      <c r="AP23" s="3779"/>
      <c r="AQ23" s="3779"/>
      <c r="AR23" s="3779"/>
      <c r="AS23" s="3779"/>
      <c r="AT23" s="3779"/>
      <c r="AU23" s="3779"/>
      <c r="AV23" s="3779"/>
      <c r="AW23" s="3779"/>
      <c r="AX23" s="3779"/>
      <c r="AY23" s="3779"/>
      <c r="AZ23" s="3779"/>
      <c r="BA23" s="3779"/>
      <c r="BB23" s="3779"/>
      <c r="BC23" s="3779"/>
      <c r="BD23" s="3779"/>
      <c r="BE23" s="3779"/>
      <c r="BF23" s="3779"/>
      <c r="BG23" s="3779"/>
      <c r="BH23" s="3779"/>
      <c r="BI23" s="3779"/>
      <c r="BJ23" s="3779"/>
      <c r="BK23" s="3779"/>
      <c r="BL23" s="3779"/>
      <c r="BM23" s="3779"/>
      <c r="BN23" s="3779"/>
      <c r="BO23" s="3779"/>
      <c r="BP23" s="3779"/>
      <c r="BQ23" s="3779"/>
      <c r="BR23" s="3779"/>
      <c r="BS23" s="3779"/>
      <c r="BT23" s="3779"/>
      <c r="BU23" s="3779"/>
      <c r="BV23" s="3779"/>
      <c r="BW23" s="3779"/>
      <c r="BX23" s="3779"/>
      <c r="BY23" s="6520"/>
      <c r="CG23" s="1220">
        <v>0</v>
      </c>
    </row>
    <row customHeight="1" ht="14.25" hidden="1">
      <c r="O24" s="1429"/>
      <c r="AL24" s="3779"/>
      <c r="AM24" s="3779"/>
      <c r="AN24" s="3779"/>
      <c r="AO24" s="3779"/>
      <c r="AP24" s="3779"/>
      <c r="AQ24" s="3779"/>
      <c r="AR24" s="3779"/>
      <c r="AS24" s="3779"/>
      <c r="AT24" s="3779"/>
      <c r="AU24" s="3779"/>
      <c r="AV24" s="3779"/>
      <c r="AW24" s="3779"/>
      <c r="AX24" s="3779"/>
      <c r="AY24" s="3779"/>
      <c r="AZ24" s="3779"/>
      <c r="BA24" s="3779"/>
      <c r="BB24" s="3779"/>
      <c r="BC24" s="3779"/>
      <c r="BD24" s="3779"/>
      <c r="BE24" s="3779"/>
      <c r="BF24" s="3779"/>
      <c r="BG24" s="3779"/>
      <c r="BH24" s="3779"/>
      <c r="BI24" s="3779"/>
      <c r="BJ24" s="3779"/>
      <c r="BK24" s="3779"/>
      <c r="BL24" s="3779"/>
      <c r="BM24" s="3779"/>
      <c r="BN24" s="3779"/>
      <c r="BO24" s="3779"/>
      <c r="BP24" s="3779"/>
      <c r="BQ24" s="3779"/>
      <c r="BR24" s="3779"/>
      <c r="BS24" s="3779"/>
      <c r="BT24" s="3779"/>
      <c r="BU24" s="3779"/>
      <c r="BV24" s="3779"/>
      <c r="BW24" s="3779"/>
      <c r="BX24" s="3779"/>
      <c r="BY24" s="6520"/>
      <c r="CG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3779"/>
      <c r="AM25" s="3779"/>
      <c r="AN25" s="3779"/>
      <c r="AO25" s="3779"/>
      <c r="AP25" s="3779"/>
      <c r="AQ25" s="3779"/>
      <c r="AR25" s="3779"/>
      <c r="AS25" s="3779"/>
      <c r="AT25" s="3779"/>
      <c r="AU25" s="3779"/>
      <c r="AV25" s="3779"/>
      <c r="AW25" s="3779"/>
      <c r="AX25" s="3779"/>
      <c r="AY25" s="3779"/>
      <c r="AZ25" s="3779"/>
      <c r="BA25" s="3779"/>
      <c r="BB25" s="3779"/>
      <c r="BC25" s="3779"/>
      <c r="BD25" s="3779"/>
      <c r="BE25" s="3779"/>
      <c r="BF25" s="3779"/>
      <c r="BG25" s="3779"/>
      <c r="BH25" s="3779"/>
      <c r="BI25" s="3779"/>
      <c r="BJ25" s="3779"/>
      <c r="BK25" s="3779"/>
      <c r="BL25" s="3779"/>
      <c r="BM25" s="3779"/>
      <c r="BN25" s="3779"/>
      <c r="BO25" s="3779"/>
      <c r="BP25" s="3779"/>
      <c r="BQ25" s="3779"/>
      <c r="BR25" s="3779"/>
      <c r="BS25" s="3779"/>
      <c r="BT25" s="3779"/>
      <c r="BU25" s="3779"/>
      <c r="BV25" s="3779"/>
      <c r="BW25" s="3779"/>
      <c r="BX25" s="3779"/>
      <c r="BY25" s="6520"/>
      <c r="CG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L26" s="3969"/>
      <c r="AM26" s="3969"/>
      <c r="AN26" s="3969"/>
      <c r="AO26" s="3969"/>
      <c r="AP26" s="3969"/>
      <c r="AQ26" s="3969"/>
      <c r="AR26" s="3969"/>
      <c r="AS26" s="3969"/>
      <c r="AT26" s="3969"/>
      <c r="AU26" s="3969"/>
      <c r="AV26" s="3969"/>
      <c r="AW26" s="3969"/>
      <c r="AX26" s="3969"/>
      <c r="AY26" s="3969"/>
      <c r="AZ26" s="3969"/>
      <c r="BA26" s="3969"/>
      <c r="BB26" s="3969"/>
      <c r="BC26" s="3969"/>
      <c r="BD26" s="3969"/>
      <c r="BE26" s="3969"/>
      <c r="BF26" s="3969"/>
      <c r="BG26" s="3969"/>
      <c r="BH26" s="3969"/>
      <c r="BI26" s="3969"/>
      <c r="BJ26" s="3969"/>
      <c r="BK26" s="3969"/>
      <c r="BL26" s="3969"/>
      <c r="BM26" s="3969"/>
      <c r="BN26" s="3969"/>
      <c r="BO26" s="3969"/>
      <c r="BP26" s="3969"/>
      <c r="BQ26" s="3969"/>
      <c r="BR26" s="3969"/>
      <c r="BS26" s="3969"/>
      <c r="BT26" s="3969"/>
      <c r="BU26" s="3969"/>
      <c r="BV26" s="3969"/>
      <c r="BW26" s="3969"/>
      <c r="BX26" s="3969"/>
      <c r="BY26" s="6531"/>
      <c r="CG26" s="1220">
        <v>60</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L27" s="3970"/>
      <c r="AM27" s="3970"/>
      <c r="AN27" s="3970"/>
      <c r="AO27" s="3970"/>
      <c r="AP27" s="3970"/>
      <c r="AQ27" s="3970"/>
      <c r="AR27" s="3970"/>
      <c r="AS27" s="3970"/>
      <c r="AT27" s="3970"/>
      <c r="AU27" s="3970"/>
      <c r="AV27" s="3970"/>
      <c r="AW27" s="3970"/>
      <c r="AX27" s="3970"/>
      <c r="AY27" s="3970"/>
      <c r="AZ27" s="3970"/>
      <c r="BA27" s="3970"/>
      <c r="BB27" s="3970"/>
      <c r="BC27" s="3970"/>
      <c r="BD27" s="3970"/>
      <c r="BE27" s="3970"/>
      <c r="BF27" s="3970"/>
      <c r="BG27" s="3970"/>
      <c r="BH27" s="3970"/>
      <c r="BI27" s="3970"/>
      <c r="BJ27" s="3970"/>
      <c r="BK27" s="3970"/>
      <c r="BL27" s="3970"/>
      <c r="BM27" s="3970"/>
      <c r="BN27" s="3970"/>
      <c r="BO27" s="3970"/>
      <c r="BP27" s="3970"/>
      <c r="BQ27" s="3970"/>
      <c r="BR27" s="3970"/>
      <c r="BS27" s="3970"/>
      <c r="BT27" s="3970"/>
      <c r="BU27" s="3970"/>
      <c r="BV27" s="3970"/>
      <c r="BW27" s="3970"/>
      <c r="BX27" s="3970"/>
      <c r="BY27" s="6532"/>
      <c r="CG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971"/>
      <c r="AM28" s="3971"/>
      <c r="AN28" s="3971"/>
      <c r="AO28" s="3971"/>
      <c r="AP28" s="3971"/>
      <c r="AQ28" s="3971"/>
      <c r="AR28" s="3971"/>
      <c r="AS28" s="3971"/>
      <c r="AT28" s="3971"/>
      <c r="AU28" s="3971"/>
      <c r="AV28" s="3971"/>
      <c r="AW28" s="3971"/>
      <c r="AX28" s="3971"/>
      <c r="AY28" s="3971"/>
      <c r="AZ28" s="3971"/>
      <c r="BA28" s="3971"/>
      <c r="BB28" s="3971"/>
      <c r="BC28" s="3971"/>
      <c r="BD28" s="3971"/>
      <c r="BE28" s="3971"/>
      <c r="BF28" s="3971"/>
      <c r="BG28" s="3971"/>
      <c r="BH28" s="3971"/>
      <c r="BI28" s="3971"/>
      <c r="BJ28" s="3971"/>
      <c r="BK28" s="3971"/>
      <c r="BL28" s="3971"/>
      <c r="BM28" s="3971"/>
      <c r="BN28" s="3971"/>
      <c r="BO28" s="3971"/>
      <c r="BP28" s="3971"/>
      <c r="BQ28" s="3971"/>
      <c r="BR28" s="3971"/>
      <c r="BS28" s="3971"/>
      <c r="BT28" s="3971"/>
      <c r="BU28" s="3971"/>
      <c r="BV28" s="3971"/>
      <c r="BW28" s="3971"/>
      <c r="BX28" s="3971"/>
      <c r="BY28" s="6533"/>
      <c r="BZ28" s="574"/>
      <c r="CG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72" t="str">
        <f>IF(TITLE_NAME_OR_PR_CHANGE="",IF(TITLE_NAME_OR_PR="","",TITLE_NAME_OR_PR),TITLE_NAME_OR_PR_CHANGE)</f>
        <v>УГРЦТ НАО</v>
      </c>
      <c r="AM29" s="3972"/>
      <c r="AN29" s="3972"/>
      <c r="AO29" s="3972"/>
      <c r="AP29" s="3972"/>
      <c r="AQ29" s="3972"/>
      <c r="AR29" s="3972"/>
      <c r="AS29" s="3779"/>
      <c r="AT29" s="3972" t="str">
        <f>IF(TITLE_NAME_OR_PR_CHANGE="",IF(TITLE_NAME_OR_PR="","",TITLE_NAME_OR_PR),TITLE_NAME_OR_PR_CHANGE)</f>
        <v>УГРЦТ НАО</v>
      </c>
      <c r="AU29" s="3972"/>
      <c r="AV29" s="3972"/>
      <c r="AW29" s="3972"/>
      <c r="AX29" s="3972"/>
      <c r="AY29" s="3972"/>
      <c r="AZ29" s="3972"/>
      <c r="BA29" s="3779"/>
      <c r="BB29" s="3972" t="str">
        <f>IF(TITLE_NAME_OR_PR_CHANGE="",IF(TITLE_NAME_OR_PR="","",TITLE_NAME_OR_PR),TITLE_NAME_OR_PR_CHANGE)</f>
        <v>УГРЦТ НАО</v>
      </c>
      <c r="BC29" s="3972"/>
      <c r="BD29" s="3972"/>
      <c r="BE29" s="3972"/>
      <c r="BF29" s="3972"/>
      <c r="BG29" s="3972"/>
      <c r="BH29" s="3972"/>
      <c r="BI29" s="3779"/>
      <c r="BJ29" s="3972" t="str">
        <f>IF(TITLE_NAME_OR_PR_CHANGE="",IF(TITLE_NAME_OR_PR="","",TITLE_NAME_OR_PR),TITLE_NAME_OR_PR_CHANGE)</f>
        <v>УГРЦТ НАО</v>
      </c>
      <c r="BK29" s="3972"/>
      <c r="BL29" s="3972"/>
      <c r="BM29" s="3972"/>
      <c r="BN29" s="3972"/>
      <c r="BO29" s="3972"/>
      <c r="BP29" s="3972"/>
      <c r="BQ29" s="3779"/>
      <c r="BR29" s="3972" t="str">
        <f>IF(TITLE_NAME_OR_PR_CHANGE="",IF(TITLE_NAME_OR_PR="","",TITLE_NAME_OR_PR),TITLE_NAME_OR_PR_CHANGE)</f>
        <v>УГРЦТ НАО</v>
      </c>
      <c r="BS29" s="3972"/>
      <c r="BT29" s="3972"/>
      <c r="BU29" s="3972"/>
      <c r="BV29" s="3972"/>
      <c r="BW29" s="3972"/>
      <c r="BX29" s="3972"/>
      <c r="BY29" s="6520"/>
      <c r="BZ29" s="391"/>
      <c r="CA29" s="345"/>
      <c r="CB29" s="433"/>
      <c r="CC29" s="433"/>
      <c r="CD29" s="433"/>
      <c r="CE29" s="433"/>
      <c r="CF29" s="433"/>
      <c r="CG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73" t="str">
        <f>IF(TITLE_DATE_PR_CHANGE="",IF(TITLE_DATE_PR="","",TITLE_DATE_PR),TITLE_DATE_PR_CHANGE)</f>
        <v>46008.55446759259</v>
      </c>
      <c r="AM30" s="3973"/>
      <c r="AN30" s="3973"/>
      <c r="AO30" s="3973"/>
      <c r="AP30" s="3973"/>
      <c r="AQ30" s="3973"/>
      <c r="AR30" s="3973"/>
      <c r="AS30" s="3779"/>
      <c r="AT30" s="3973" t="str">
        <f>IF(TITLE_DATE_PR_CHANGE="",IF(TITLE_DATE_PR="","",TITLE_DATE_PR),TITLE_DATE_PR_CHANGE)</f>
        <v>46008.55446759259</v>
      </c>
      <c r="AU30" s="3973"/>
      <c r="AV30" s="3973"/>
      <c r="AW30" s="3973"/>
      <c r="AX30" s="3973"/>
      <c r="AY30" s="3973"/>
      <c r="AZ30" s="3973"/>
      <c r="BA30" s="3779"/>
      <c r="BB30" s="3973" t="str">
        <f>IF(TITLE_DATE_PR_CHANGE="",IF(TITLE_DATE_PR="","",TITLE_DATE_PR),TITLE_DATE_PR_CHANGE)</f>
        <v>46008.55446759259</v>
      </c>
      <c r="BC30" s="3973"/>
      <c r="BD30" s="3973"/>
      <c r="BE30" s="3973"/>
      <c r="BF30" s="3973"/>
      <c r="BG30" s="3973"/>
      <c r="BH30" s="3973"/>
      <c r="BI30" s="3779"/>
      <c r="BJ30" s="3973" t="str">
        <f>IF(TITLE_DATE_PR_CHANGE="",IF(TITLE_DATE_PR="","",TITLE_DATE_PR),TITLE_DATE_PR_CHANGE)</f>
        <v>46008.55446759259</v>
      </c>
      <c r="BK30" s="3973"/>
      <c r="BL30" s="3973"/>
      <c r="BM30" s="3973"/>
      <c r="BN30" s="3973"/>
      <c r="BO30" s="3973"/>
      <c r="BP30" s="3973"/>
      <c r="BQ30" s="3779"/>
      <c r="BR30" s="3973" t="str">
        <f>IF(TITLE_DATE_PR_CHANGE="",IF(TITLE_DATE_PR="","",TITLE_DATE_PR),TITLE_DATE_PR_CHANGE)</f>
        <v>46008.55446759259</v>
      </c>
      <c r="BS30" s="3973"/>
      <c r="BT30" s="3973"/>
      <c r="BU30" s="3973"/>
      <c r="BV30" s="3973"/>
      <c r="BW30" s="3973"/>
      <c r="BX30" s="3973"/>
      <c r="BY30" s="6520"/>
      <c r="BZ30" s="391"/>
      <c r="CA30" s="345"/>
      <c r="CB30" s="433"/>
      <c r="CC30" s="433"/>
      <c r="CD30" s="433"/>
      <c r="CE30" s="433"/>
      <c r="CF30" s="433"/>
      <c r="CG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72" t="str">
        <f>IF(TITLE_NUMBER_PR_CHANGE="",IF(TITLE_NUMBER_PR="","",TITLE_NUMBER_PR),TITLE_NUMBER_PR_CHANGE)</f>
        <v>57</v>
      </c>
      <c r="AM31" s="3972"/>
      <c r="AN31" s="3972"/>
      <c r="AO31" s="3972"/>
      <c r="AP31" s="3972"/>
      <c r="AQ31" s="3972"/>
      <c r="AR31" s="3972"/>
      <c r="AS31" s="3779"/>
      <c r="AT31" s="3972" t="str">
        <f>IF(TITLE_NUMBER_PR_CHANGE="",IF(TITLE_NUMBER_PR="","",TITLE_NUMBER_PR),TITLE_NUMBER_PR_CHANGE)</f>
        <v>57</v>
      </c>
      <c r="AU31" s="3972"/>
      <c r="AV31" s="3972"/>
      <c r="AW31" s="3972"/>
      <c r="AX31" s="3972"/>
      <c r="AY31" s="3972"/>
      <c r="AZ31" s="3972"/>
      <c r="BA31" s="3779"/>
      <c r="BB31" s="3972" t="str">
        <f>IF(TITLE_NUMBER_PR_CHANGE="",IF(TITLE_NUMBER_PR="","",TITLE_NUMBER_PR),TITLE_NUMBER_PR_CHANGE)</f>
        <v>57</v>
      </c>
      <c r="BC31" s="3972"/>
      <c r="BD31" s="3972"/>
      <c r="BE31" s="3972"/>
      <c r="BF31" s="3972"/>
      <c r="BG31" s="3972"/>
      <c r="BH31" s="3972"/>
      <c r="BI31" s="3779"/>
      <c r="BJ31" s="3972" t="str">
        <f>IF(TITLE_NUMBER_PR_CHANGE="",IF(TITLE_NUMBER_PR="","",TITLE_NUMBER_PR),TITLE_NUMBER_PR_CHANGE)</f>
        <v>57</v>
      </c>
      <c r="BK31" s="3972"/>
      <c r="BL31" s="3972"/>
      <c r="BM31" s="3972"/>
      <c r="BN31" s="3972"/>
      <c r="BO31" s="3972"/>
      <c r="BP31" s="3972"/>
      <c r="BQ31" s="3779"/>
      <c r="BR31" s="3972" t="str">
        <f>IF(TITLE_NUMBER_PR_CHANGE="",IF(TITLE_NUMBER_PR="","",TITLE_NUMBER_PR),TITLE_NUMBER_PR_CHANGE)</f>
        <v>57</v>
      </c>
      <c r="BS31" s="3972"/>
      <c r="BT31" s="3972"/>
      <c r="BU31" s="3972"/>
      <c r="BV31" s="3972"/>
      <c r="BW31" s="3972"/>
      <c r="BX31" s="3972"/>
      <c r="BY31" s="6520"/>
      <c r="BZ31" s="391"/>
      <c r="CA31" s="345"/>
      <c r="CB31" s="433"/>
      <c r="CC31" s="433"/>
      <c r="CD31" s="433"/>
      <c r="CE31" s="433"/>
      <c r="CF31" s="433"/>
      <c r="CG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72" t="str">
        <f>IF(TITLE_IST_PUB_CHANGE="",IF(TITLE_IST_PUB="","",TITLE_IST_PUB),TITLE_IST_PUB_CHANGE)</f>
        <v>http://pravo.gov.ru</v>
      </c>
      <c r="AM32" s="3972"/>
      <c r="AN32" s="3972"/>
      <c r="AO32" s="3972"/>
      <c r="AP32" s="3972"/>
      <c r="AQ32" s="3972"/>
      <c r="AR32" s="3972"/>
      <c r="AS32" s="3779"/>
      <c r="AT32" s="3972" t="str">
        <f>IF(TITLE_IST_PUB_CHANGE="",IF(TITLE_IST_PUB="","",TITLE_IST_PUB),TITLE_IST_PUB_CHANGE)</f>
        <v>http://pravo.gov.ru</v>
      </c>
      <c r="AU32" s="3972"/>
      <c r="AV32" s="3972"/>
      <c r="AW32" s="3972"/>
      <c r="AX32" s="3972"/>
      <c r="AY32" s="3972"/>
      <c r="AZ32" s="3972"/>
      <c r="BA32" s="3779"/>
      <c r="BB32" s="3972" t="str">
        <f>IF(TITLE_IST_PUB_CHANGE="",IF(TITLE_IST_PUB="","",TITLE_IST_PUB),TITLE_IST_PUB_CHANGE)</f>
        <v>http://pravo.gov.ru</v>
      </c>
      <c r="BC32" s="3972"/>
      <c r="BD32" s="3972"/>
      <c r="BE32" s="3972"/>
      <c r="BF32" s="3972"/>
      <c r="BG32" s="3972"/>
      <c r="BH32" s="3972"/>
      <c r="BI32" s="3779"/>
      <c r="BJ32" s="3972" t="str">
        <f>IF(TITLE_IST_PUB_CHANGE="",IF(TITLE_IST_PUB="","",TITLE_IST_PUB),TITLE_IST_PUB_CHANGE)</f>
        <v>http://pravo.gov.ru</v>
      </c>
      <c r="BK32" s="3972"/>
      <c r="BL32" s="3972"/>
      <c r="BM32" s="3972"/>
      <c r="BN32" s="3972"/>
      <c r="BO32" s="3972"/>
      <c r="BP32" s="3972"/>
      <c r="BQ32" s="3779"/>
      <c r="BR32" s="3972" t="str">
        <f>IF(TITLE_IST_PUB_CHANGE="",IF(TITLE_IST_PUB="","",TITLE_IST_PUB),TITLE_IST_PUB_CHANGE)</f>
        <v>http://pravo.gov.ru</v>
      </c>
      <c r="BS32" s="3972"/>
      <c r="BT32" s="3972"/>
      <c r="BU32" s="3972"/>
      <c r="BV32" s="3972"/>
      <c r="BW32" s="3972"/>
      <c r="BX32" s="3972"/>
      <c r="BY32" s="6520"/>
      <c r="BZ32" s="391"/>
      <c r="CA32" s="345"/>
      <c r="CB32" s="433"/>
      <c r="CC32" s="433"/>
      <c r="CD32" s="433"/>
      <c r="CE32" s="433"/>
      <c r="CF32" s="433"/>
      <c r="CG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3971"/>
      <c r="AM33" s="3971"/>
      <c r="AN33" s="3971"/>
      <c r="AO33" s="3971"/>
      <c r="AP33" s="3971"/>
      <c r="AQ33" s="3971"/>
      <c r="AR33" s="3971"/>
      <c r="AS33" s="3971"/>
      <c r="AT33" s="3971"/>
      <c r="AU33" s="3971"/>
      <c r="AV33" s="3971"/>
      <c r="AW33" s="3971"/>
      <c r="AX33" s="3971"/>
      <c r="AY33" s="3971"/>
      <c r="AZ33" s="3971"/>
      <c r="BA33" s="3971"/>
      <c r="BB33" s="3971"/>
      <c r="BC33" s="3971"/>
      <c r="BD33" s="3971"/>
      <c r="BE33" s="3971"/>
      <c r="BF33" s="3971"/>
      <c r="BG33" s="3971"/>
      <c r="BH33" s="3971"/>
      <c r="BI33" s="3971"/>
      <c r="BJ33" s="3971"/>
      <c r="BK33" s="3971"/>
      <c r="BL33" s="3971"/>
      <c r="BM33" s="3971"/>
      <c r="BN33" s="3971"/>
      <c r="BO33" s="3971"/>
      <c r="BP33" s="3971"/>
      <c r="BQ33" s="3971"/>
      <c r="BR33" s="3971"/>
      <c r="BS33" s="3971"/>
      <c r="BT33" s="3971"/>
      <c r="BU33" s="3971"/>
      <c r="BV33" s="3971"/>
      <c r="BW33" s="3971"/>
      <c r="BX33" s="3971"/>
      <c r="BY33" s="6533"/>
      <c r="BZ33" s="574"/>
      <c r="CG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73" t="str">
        <f>IF(TITLE_DATE_PR_CHANGE="",IF(TITLE_DATE_PR="","",TITLE_DATE_PR),TITLE_DATE_PR_CHANGE)</f>
        <v>46008.55446759259</v>
      </c>
      <c r="AM34" s="3973"/>
      <c r="AN34" s="3973"/>
      <c r="AO34" s="3973"/>
      <c r="AP34" s="3973"/>
      <c r="AQ34" s="3973"/>
      <c r="AR34" s="3973"/>
      <c r="AS34" s="3779"/>
      <c r="AT34" s="3973" t="str">
        <f>IF(TITLE_DATE_PR_CHANGE="",IF(TITLE_DATE_PR="","",TITLE_DATE_PR),TITLE_DATE_PR_CHANGE)</f>
        <v>46008.55446759259</v>
      </c>
      <c r="AU34" s="3973"/>
      <c r="AV34" s="3973"/>
      <c r="AW34" s="3973"/>
      <c r="AX34" s="3973"/>
      <c r="AY34" s="3973"/>
      <c r="AZ34" s="3973"/>
      <c r="BA34" s="3779"/>
      <c r="BB34" s="3973" t="str">
        <f>IF(TITLE_DATE_PR_CHANGE="",IF(TITLE_DATE_PR="","",TITLE_DATE_PR),TITLE_DATE_PR_CHANGE)</f>
        <v>46008.55446759259</v>
      </c>
      <c r="BC34" s="3973"/>
      <c r="BD34" s="3973"/>
      <c r="BE34" s="3973"/>
      <c r="BF34" s="3973"/>
      <c r="BG34" s="3973"/>
      <c r="BH34" s="3973"/>
      <c r="BI34" s="3779"/>
      <c r="BJ34" s="3973" t="str">
        <f>IF(TITLE_DATE_PR_CHANGE="",IF(TITLE_DATE_PR="","",TITLE_DATE_PR),TITLE_DATE_PR_CHANGE)</f>
        <v>46008.55446759259</v>
      </c>
      <c r="BK34" s="3973"/>
      <c r="BL34" s="3973"/>
      <c r="BM34" s="3973"/>
      <c r="BN34" s="3973"/>
      <c r="BO34" s="3973"/>
      <c r="BP34" s="3973"/>
      <c r="BQ34" s="3779"/>
      <c r="BR34" s="3973" t="str">
        <f>IF(TITLE_DATE_PR_CHANGE="",IF(TITLE_DATE_PR="","",TITLE_DATE_PR),TITLE_DATE_PR_CHANGE)</f>
        <v>46008.55446759259</v>
      </c>
      <c r="BS34" s="3973"/>
      <c r="BT34" s="3973"/>
      <c r="BU34" s="3973"/>
      <c r="BV34" s="3973"/>
      <c r="BW34" s="3973"/>
      <c r="BX34" s="3973"/>
      <c r="BY34" s="6520"/>
      <c r="BZ34" s="391"/>
      <c r="CA34" s="345"/>
      <c r="CB34" s="433"/>
      <c r="CC34" s="433"/>
      <c r="CD34" s="433"/>
      <c r="CE34" s="433"/>
      <c r="CF34" s="433"/>
      <c r="CG34" s="483">
        <v>0</v>
      </c>
    </row>
    <row s="6339" customFormat="1" customHeight="1" ht="18.7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72" t="str">
        <f>IF(TITLE_NUMBER_PR_CHANGE="",IF(TITLE_NUMBER_PR="","",TITLE_NUMBER_PR),TITLE_NUMBER_PR_CHANGE)</f>
        <v>57</v>
      </c>
      <c r="AM35" s="3972"/>
      <c r="AN35" s="3972"/>
      <c r="AO35" s="3972"/>
      <c r="AP35" s="3972"/>
      <c r="AQ35" s="3972"/>
      <c r="AR35" s="3972"/>
      <c r="AS35" s="3779"/>
      <c r="AT35" s="3972" t="str">
        <f>IF(TITLE_NUMBER_PR_CHANGE="",IF(TITLE_NUMBER_PR="","",TITLE_NUMBER_PR),TITLE_NUMBER_PR_CHANGE)</f>
        <v>57</v>
      </c>
      <c r="AU35" s="3972"/>
      <c r="AV35" s="3972"/>
      <c r="AW35" s="3972"/>
      <c r="AX35" s="3972"/>
      <c r="AY35" s="3972"/>
      <c r="AZ35" s="3972"/>
      <c r="BA35" s="3779"/>
      <c r="BB35" s="3972" t="str">
        <f>IF(TITLE_NUMBER_PR_CHANGE="",IF(TITLE_NUMBER_PR="","",TITLE_NUMBER_PR),TITLE_NUMBER_PR_CHANGE)</f>
        <v>57</v>
      </c>
      <c r="BC35" s="3972"/>
      <c r="BD35" s="3972"/>
      <c r="BE35" s="3972"/>
      <c r="BF35" s="3972"/>
      <c r="BG35" s="3972"/>
      <c r="BH35" s="3972"/>
      <c r="BI35" s="3779"/>
      <c r="BJ35" s="3972" t="str">
        <f>IF(TITLE_NUMBER_PR_CHANGE="",IF(TITLE_NUMBER_PR="","",TITLE_NUMBER_PR),TITLE_NUMBER_PR_CHANGE)</f>
        <v>57</v>
      </c>
      <c r="BK35" s="3972"/>
      <c r="BL35" s="3972"/>
      <c r="BM35" s="3972"/>
      <c r="BN35" s="3972"/>
      <c r="BO35" s="3972"/>
      <c r="BP35" s="3972"/>
      <c r="BQ35" s="3779"/>
      <c r="BR35" s="3972" t="str">
        <f>IF(TITLE_NUMBER_PR_CHANGE="",IF(TITLE_NUMBER_PR="","",TITLE_NUMBER_PR),TITLE_NUMBER_PR_CHANGE)</f>
        <v>57</v>
      </c>
      <c r="BS35" s="3972"/>
      <c r="BT35" s="3972"/>
      <c r="BU35" s="3972"/>
      <c r="BV35" s="3972"/>
      <c r="BW35" s="3972"/>
      <c r="BX35" s="3972"/>
      <c r="BY35" s="6520"/>
      <c r="BZ35" s="391"/>
      <c r="CA35" s="345"/>
      <c r="CB35" s="433"/>
      <c r="CC35" s="433"/>
      <c r="CD35" s="433"/>
      <c r="CE35" s="433"/>
      <c r="CF35" s="433"/>
      <c r="CG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433</v>
      </c>
      <c r="AD36" s="391"/>
      <c r="AE36" s="391"/>
      <c r="AF36" s="391"/>
      <c r="AG36" s="391"/>
      <c r="AH36" s="391"/>
      <c r="AI36" s="391"/>
      <c r="AJ36" s="391"/>
      <c r="AK36" s="343" t="s">
        <v>433</v>
      </c>
      <c r="AL36" s="3779"/>
      <c r="AM36" s="3779"/>
      <c r="AN36" s="3779"/>
      <c r="AO36" s="3779"/>
      <c r="AP36" s="3779"/>
      <c r="AQ36" s="3779"/>
      <c r="AR36" s="3779"/>
      <c r="AS36" s="3975" t="s">
        <v>433</v>
      </c>
      <c r="AT36" s="3779"/>
      <c r="AU36" s="3779"/>
      <c r="AV36" s="3779"/>
      <c r="AW36" s="3779"/>
      <c r="AX36" s="3779"/>
      <c r="AY36" s="3779"/>
      <c r="AZ36" s="3779"/>
      <c r="BA36" s="3975" t="s">
        <v>433</v>
      </c>
      <c r="BB36" s="3779"/>
      <c r="BC36" s="3779"/>
      <c r="BD36" s="3779"/>
      <c r="BE36" s="3779"/>
      <c r="BF36" s="3779"/>
      <c r="BG36" s="3779"/>
      <c r="BH36" s="3779"/>
      <c r="BI36" s="3975" t="s">
        <v>433</v>
      </c>
      <c r="BJ36" s="3779"/>
      <c r="BK36" s="3779"/>
      <c r="BL36" s="3779"/>
      <c r="BM36" s="3779"/>
      <c r="BN36" s="3779"/>
      <c r="BO36" s="3779"/>
      <c r="BP36" s="3779"/>
      <c r="BQ36" s="3975" t="s">
        <v>433</v>
      </c>
      <c r="BR36" s="3779"/>
      <c r="BS36" s="3779"/>
      <c r="BT36" s="3779"/>
      <c r="BU36" s="3779"/>
      <c r="BV36" s="3779"/>
      <c r="BW36" s="3779"/>
      <c r="BX36" s="3779"/>
      <c r="BY36" s="6534" t="s">
        <v>433</v>
      </c>
      <c r="CB36" s="433"/>
      <c r="CC36" s="433"/>
      <c r="CD36" s="433"/>
      <c r="CE36" s="433"/>
      <c r="CF36" s="433"/>
      <c r="CG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976" t="s">
        <v>454</v>
      </c>
      <c r="AM37" s="3976"/>
      <c r="AN37" s="3976"/>
      <c r="AO37" s="3976"/>
      <c r="AP37" s="3976"/>
      <c r="AQ37" s="3976"/>
      <c r="AR37" s="3976"/>
      <c r="AS37" s="3976"/>
      <c r="AT37" s="3976" t="s">
        <v>454</v>
      </c>
      <c r="AU37" s="3976"/>
      <c r="AV37" s="3976"/>
      <c r="AW37" s="3976"/>
      <c r="AX37" s="3976"/>
      <c r="AY37" s="3976"/>
      <c r="AZ37" s="3976"/>
      <c r="BA37" s="3976"/>
      <c r="BB37" s="3976" t="s">
        <v>454</v>
      </c>
      <c r="BC37" s="3976"/>
      <c r="BD37" s="3976"/>
      <c r="BE37" s="3976"/>
      <c r="BF37" s="3976"/>
      <c r="BG37" s="3976"/>
      <c r="BH37" s="3976"/>
      <c r="BI37" s="3976"/>
      <c r="BJ37" s="3976" t="s">
        <v>454</v>
      </c>
      <c r="BK37" s="3976"/>
      <c r="BL37" s="3976"/>
      <c r="BM37" s="3976"/>
      <c r="BN37" s="3976"/>
      <c r="BO37" s="3976"/>
      <c r="BP37" s="3976"/>
      <c r="BQ37" s="3976"/>
      <c r="BR37" s="3976" t="s">
        <v>454</v>
      </c>
      <c r="BS37" s="3976"/>
      <c r="BT37" s="3976"/>
      <c r="BU37" s="3976"/>
      <c r="BV37" s="3976"/>
      <c r="BW37" s="3976"/>
      <c r="BX37" s="3976"/>
      <c r="BY37" s="6535"/>
      <c r="CG37" s="1220">
        <v>14</v>
      </c>
    </row>
    <row customHeight="1" ht="15">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3977" t="s">
        <v>309</v>
      </c>
      <c r="AM38" s="3977"/>
      <c r="AN38" s="3977"/>
      <c r="AO38" s="3977"/>
      <c r="AP38" s="3977"/>
      <c r="AQ38" s="3977"/>
      <c r="AR38" s="3977"/>
      <c r="AS38" s="3977"/>
      <c r="AT38" s="3977" t="s">
        <v>309</v>
      </c>
      <c r="AU38" s="3977"/>
      <c r="AV38" s="3977"/>
      <c r="AW38" s="3977"/>
      <c r="AX38" s="3977"/>
      <c r="AY38" s="3977"/>
      <c r="AZ38" s="3977"/>
      <c r="BA38" s="3977"/>
      <c r="BB38" s="3977" t="s">
        <v>309</v>
      </c>
      <c r="BC38" s="3977"/>
      <c r="BD38" s="3977"/>
      <c r="BE38" s="3977"/>
      <c r="BF38" s="3977"/>
      <c r="BG38" s="3977"/>
      <c r="BH38" s="3977"/>
      <c r="BI38" s="3977"/>
      <c r="BJ38" s="3977" t="s">
        <v>309</v>
      </c>
      <c r="BK38" s="3977"/>
      <c r="BL38" s="3977"/>
      <c r="BM38" s="3977"/>
      <c r="BN38" s="3977"/>
      <c r="BO38" s="3977"/>
      <c r="BP38" s="3977"/>
      <c r="BQ38" s="3977"/>
      <c r="BR38" s="3977" t="s">
        <v>309</v>
      </c>
      <c r="BS38" s="3977"/>
      <c r="BT38" s="3977"/>
      <c r="BU38" s="3977"/>
      <c r="BV38" s="3977"/>
      <c r="BW38" s="3977"/>
      <c r="BX38" s="3977"/>
      <c r="BY38" s="6536"/>
      <c r="BZ38" s="2192"/>
      <c r="CA38" s="2192"/>
      <c r="CG38" s="1220"/>
    </row>
    <row customHeight="1" ht="14.699999999999998">
      <c r="Q39" s="441"/>
      <c r="R39" s="441"/>
      <c r="S39" s="2338" t="s">
        <v>91</v>
      </c>
      <c r="T39" s="2274" t="s">
        <v>434</v>
      </c>
      <c r="U39" s="366"/>
      <c r="V39" s="2339" t="s">
        <v>435</v>
      </c>
      <c r="W39" s="2340"/>
      <c r="X39" s="2340"/>
      <c r="Y39" s="2340"/>
      <c r="Z39" s="2340"/>
      <c r="AA39" s="2340"/>
      <c r="AB39" s="2341"/>
      <c r="AC39" s="2342" t="s">
        <v>436</v>
      </c>
      <c r="AD39" s="2339" t="s">
        <v>435</v>
      </c>
      <c r="AE39" s="2340"/>
      <c r="AF39" s="2340"/>
      <c r="AG39" s="2340"/>
      <c r="AH39" s="2340"/>
      <c r="AI39" s="2340"/>
      <c r="AJ39" s="2341"/>
      <c r="AK39" s="2342" t="s">
        <v>437</v>
      </c>
      <c r="AL39" s="3978" t="s">
        <v>435</v>
      </c>
      <c r="AM39" s="3979"/>
      <c r="AN39" s="3979"/>
      <c r="AO39" s="3979"/>
      <c r="AP39" s="3979"/>
      <c r="AQ39" s="3979"/>
      <c r="AR39" s="3980"/>
      <c r="AS39" s="3981" t="s">
        <v>436</v>
      </c>
      <c r="AT39" s="3978" t="s">
        <v>435</v>
      </c>
      <c r="AU39" s="3979"/>
      <c r="AV39" s="3979"/>
      <c r="AW39" s="3979"/>
      <c r="AX39" s="3979"/>
      <c r="AY39" s="3979"/>
      <c r="AZ39" s="3980"/>
      <c r="BA39" s="3981" t="s">
        <v>436</v>
      </c>
      <c r="BB39" s="3978" t="s">
        <v>435</v>
      </c>
      <c r="BC39" s="3979"/>
      <c r="BD39" s="3979"/>
      <c r="BE39" s="3979"/>
      <c r="BF39" s="3979"/>
      <c r="BG39" s="3979"/>
      <c r="BH39" s="3980"/>
      <c r="BI39" s="3981" t="s">
        <v>436</v>
      </c>
      <c r="BJ39" s="3978" t="s">
        <v>435</v>
      </c>
      <c r="BK39" s="3979"/>
      <c r="BL39" s="3979"/>
      <c r="BM39" s="3979"/>
      <c r="BN39" s="3979"/>
      <c r="BO39" s="3979"/>
      <c r="BP39" s="3980"/>
      <c r="BQ39" s="3981" t="s">
        <v>436</v>
      </c>
      <c r="BR39" s="3978" t="s">
        <v>435</v>
      </c>
      <c r="BS39" s="3979"/>
      <c r="BT39" s="3979"/>
      <c r="BU39" s="3979"/>
      <c r="BV39" s="3979"/>
      <c r="BW39" s="3979"/>
      <c r="BX39" s="3980"/>
      <c r="BY39" s="6537" t="s">
        <v>436</v>
      </c>
      <c r="BZ39" s="2345" t="s">
        <v>438</v>
      </c>
      <c r="CA39" s="2192"/>
      <c r="CG39" s="1220">
        <v>14</v>
      </c>
    </row>
    <row customHeight="1" ht="35.699999999999996">
      <c r="Q40" s="441"/>
      <c r="R40" s="441"/>
      <c r="S40" s="2338"/>
      <c r="T40" s="2274"/>
      <c r="U40" s="1096"/>
      <c r="V40" s="2325" t="s">
        <v>439</v>
      </c>
      <c r="W40" s="2348"/>
      <c r="X40" s="2327" t="s">
        <v>441</v>
      </c>
      <c r="Y40" s="2328"/>
      <c r="Z40" s="2327" t="s">
        <v>442</v>
      </c>
      <c r="AA40" s="2334"/>
      <c r="AB40" s="2328"/>
      <c r="AC40" s="2343"/>
      <c r="AD40" s="2325" t="s">
        <v>460</v>
      </c>
      <c r="AE40" s="2348"/>
      <c r="AF40" s="2327" t="s">
        <v>441</v>
      </c>
      <c r="AG40" s="2328"/>
      <c r="AH40" s="2327" t="s">
        <v>442</v>
      </c>
      <c r="AI40" s="2334"/>
      <c r="AJ40" s="2328"/>
      <c r="AK40" s="2343"/>
      <c r="AL40" s="3982" t="s">
        <v>439</v>
      </c>
      <c r="AM40" s="3983"/>
      <c r="AN40" s="3984" t="s">
        <v>441</v>
      </c>
      <c r="AO40" s="3985"/>
      <c r="AP40" s="3984" t="s">
        <v>442</v>
      </c>
      <c r="AQ40" s="3986"/>
      <c r="AR40" s="3985"/>
      <c r="AS40" s="3987"/>
      <c r="AT40" s="3982" t="s">
        <v>439</v>
      </c>
      <c r="AU40" s="3983"/>
      <c r="AV40" s="3984" t="s">
        <v>441</v>
      </c>
      <c r="AW40" s="3985"/>
      <c r="AX40" s="3984" t="s">
        <v>442</v>
      </c>
      <c r="AY40" s="3986"/>
      <c r="AZ40" s="3985"/>
      <c r="BA40" s="3987"/>
      <c r="BB40" s="3982" t="s">
        <v>439</v>
      </c>
      <c r="BC40" s="3983"/>
      <c r="BD40" s="3984" t="s">
        <v>441</v>
      </c>
      <c r="BE40" s="3985"/>
      <c r="BF40" s="3984" t="s">
        <v>442</v>
      </c>
      <c r="BG40" s="3986"/>
      <c r="BH40" s="3985"/>
      <c r="BI40" s="3987"/>
      <c r="BJ40" s="3982" t="s">
        <v>439</v>
      </c>
      <c r="BK40" s="3983"/>
      <c r="BL40" s="3984" t="s">
        <v>441</v>
      </c>
      <c r="BM40" s="3985"/>
      <c r="BN40" s="3984" t="s">
        <v>442</v>
      </c>
      <c r="BO40" s="3986"/>
      <c r="BP40" s="3985"/>
      <c r="BQ40" s="3987"/>
      <c r="BR40" s="3982" t="s">
        <v>439</v>
      </c>
      <c r="BS40" s="3983"/>
      <c r="BT40" s="3984" t="s">
        <v>441</v>
      </c>
      <c r="BU40" s="3985"/>
      <c r="BV40" s="3984" t="s">
        <v>442</v>
      </c>
      <c r="BW40" s="3986"/>
      <c r="BX40" s="3985"/>
      <c r="BY40" s="6538"/>
      <c r="BZ40" s="2346"/>
      <c r="CA40" s="2192"/>
      <c r="CG40" s="1220">
        <v>34</v>
      </c>
    </row>
    <row customHeight="1" ht="35.699999999999996">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Q41" s="441"/>
      <c r="R41" s="441"/>
      <c r="S41" s="2338"/>
      <c r="T41" s="2274"/>
      <c r="U41" s="367"/>
      <c r="V41" s="2326"/>
      <c r="W41" s="2349"/>
      <c r="X41" s="1287" t="s">
        <v>450</v>
      </c>
      <c r="Y41" s="1287" t="s">
        <v>451</v>
      </c>
      <c r="Z41" s="1403" t="s">
        <v>452</v>
      </c>
      <c r="AA41" s="2335" t="s">
        <v>453</v>
      </c>
      <c r="AB41" s="2336"/>
      <c r="AC41" s="2344"/>
      <c r="AD41" s="2326"/>
      <c r="AE41" s="2349"/>
      <c r="AF41" s="1287" t="s">
        <v>450</v>
      </c>
      <c r="AG41" s="1287" t="s">
        <v>451</v>
      </c>
      <c r="AH41" s="1403" t="s">
        <v>452</v>
      </c>
      <c r="AI41" s="2335" t="s">
        <v>453</v>
      </c>
      <c r="AJ41" s="2336"/>
      <c r="AK41" s="2344"/>
      <c r="AL41" s="3989"/>
      <c r="AM41" s="3990"/>
      <c r="AN41" s="3991" t="s">
        <v>450</v>
      </c>
      <c r="AO41" s="3991" t="s">
        <v>451</v>
      </c>
      <c r="AP41" s="3991" t="s">
        <v>452</v>
      </c>
      <c r="AQ41" s="3992" t="s">
        <v>453</v>
      </c>
      <c r="AR41" s="3993"/>
      <c r="AS41" s="3994"/>
      <c r="AT41" s="3989"/>
      <c r="AU41" s="3990"/>
      <c r="AV41" s="3991" t="s">
        <v>450</v>
      </c>
      <c r="AW41" s="3991" t="s">
        <v>451</v>
      </c>
      <c r="AX41" s="3991" t="s">
        <v>452</v>
      </c>
      <c r="AY41" s="3992" t="s">
        <v>453</v>
      </c>
      <c r="AZ41" s="3993"/>
      <c r="BA41" s="3994"/>
      <c r="BB41" s="3989"/>
      <c r="BC41" s="3990"/>
      <c r="BD41" s="3991" t="s">
        <v>450</v>
      </c>
      <c r="BE41" s="3991" t="s">
        <v>451</v>
      </c>
      <c r="BF41" s="3991" t="s">
        <v>452</v>
      </c>
      <c r="BG41" s="3992" t="s">
        <v>453</v>
      </c>
      <c r="BH41" s="3993"/>
      <c r="BI41" s="3994"/>
      <c r="BJ41" s="3989"/>
      <c r="BK41" s="3990"/>
      <c r="BL41" s="3991" t="s">
        <v>450</v>
      </c>
      <c r="BM41" s="3991" t="s">
        <v>451</v>
      </c>
      <c r="BN41" s="3991" t="s">
        <v>452</v>
      </c>
      <c r="BO41" s="3992" t="s">
        <v>453</v>
      </c>
      <c r="BP41" s="3993"/>
      <c r="BQ41" s="3994"/>
      <c r="BR41" s="3989"/>
      <c r="BS41" s="3990"/>
      <c r="BT41" s="3991" t="s">
        <v>450</v>
      </c>
      <c r="BU41" s="3991" t="s">
        <v>451</v>
      </c>
      <c r="BV41" s="3991" t="s">
        <v>452</v>
      </c>
      <c r="BW41" s="3992" t="s">
        <v>453</v>
      </c>
      <c r="BX41" s="3993"/>
      <c r="BY41" s="6539"/>
      <c r="BZ41" s="2347"/>
      <c r="CA41" s="2192"/>
      <c r="CG41" s="1220">
        <v>34</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3996">
        <f>OFFSET(AL42,0,-1)+1</f>
        <v>6</v>
      </c>
      <c r="AM42" s="3996"/>
      <c r="AN42" s="3996">
        <f>OFFSET(AN42,0,-1)+1</f>
        <v>1</v>
      </c>
      <c r="AO42" s="3996">
        <f>OFFSET(AO42,0,-1)+1</f>
        <v>2</v>
      </c>
      <c r="AP42" s="3996">
        <f>OFFSET(AP42,0,-1)+1</f>
        <v>3</v>
      </c>
      <c r="AQ42" s="3996">
        <f>OFFSET(AQ42,0,-1)+1</f>
        <v>4</v>
      </c>
      <c r="AR42" s="3996"/>
      <c r="AS42" s="3996">
        <f>OFFSET(AS42,0,-2)+1</f>
        <v>5</v>
      </c>
      <c r="AT42" s="3996">
        <f>OFFSET(AT42,0,-1)+1</f>
        <v>6</v>
      </c>
      <c r="AU42" s="3996"/>
      <c r="AV42" s="3996">
        <f>OFFSET(AV42,0,-1)+1</f>
        <v>1</v>
      </c>
      <c r="AW42" s="3996">
        <f>OFFSET(AW42,0,-1)+1</f>
        <v>2</v>
      </c>
      <c r="AX42" s="3996">
        <f>OFFSET(AX42,0,-1)+1</f>
        <v>3</v>
      </c>
      <c r="AY42" s="3996">
        <f>OFFSET(AY42,0,-1)+1</f>
        <v>4</v>
      </c>
      <c r="AZ42" s="3996"/>
      <c r="BA42" s="3996">
        <f>OFFSET(BA42,0,-2)+1</f>
        <v>5</v>
      </c>
      <c r="BB42" s="3996">
        <f>OFFSET(BB42,0,-1)+1</f>
        <v>6</v>
      </c>
      <c r="BC42" s="3996"/>
      <c r="BD42" s="3996">
        <f>OFFSET(BD42,0,-1)+1</f>
        <v>1</v>
      </c>
      <c r="BE42" s="3996">
        <f>OFFSET(BE42,0,-1)+1</f>
        <v>2</v>
      </c>
      <c r="BF42" s="3996">
        <f>OFFSET(BF42,0,-1)+1</f>
        <v>3</v>
      </c>
      <c r="BG42" s="3996">
        <f>OFFSET(BG42,0,-1)+1</f>
        <v>4</v>
      </c>
      <c r="BH42" s="3996"/>
      <c r="BI42" s="3996">
        <f>OFFSET(BI42,0,-2)+1</f>
        <v>5</v>
      </c>
      <c r="BJ42" s="3996">
        <f>OFFSET(BJ42,0,-1)+1</f>
        <v>6</v>
      </c>
      <c r="BK42" s="3996"/>
      <c r="BL42" s="3996">
        <f>OFFSET(BL42,0,-1)+1</f>
        <v>1</v>
      </c>
      <c r="BM42" s="3996">
        <f>OFFSET(BM42,0,-1)+1</f>
        <v>2</v>
      </c>
      <c r="BN42" s="3996">
        <f>OFFSET(BN42,0,-1)+1</f>
        <v>3</v>
      </c>
      <c r="BO42" s="3996">
        <f>OFFSET(BO42,0,-1)+1</f>
        <v>4</v>
      </c>
      <c r="BP42" s="3996"/>
      <c r="BQ42" s="3996">
        <f>OFFSET(BQ42,0,-2)+1</f>
        <v>5</v>
      </c>
      <c r="BR42" s="3996">
        <f>OFFSET(BR42,0,-1)+1</f>
        <v>6</v>
      </c>
      <c r="BS42" s="3996"/>
      <c r="BT42" s="3996">
        <f>OFFSET(BT42,0,-1)+1</f>
        <v>1</v>
      </c>
      <c r="BU42" s="3996">
        <f>OFFSET(BU42,0,-1)+1</f>
        <v>2</v>
      </c>
      <c r="BV42" s="3996">
        <f>OFFSET(BV42,0,-1)+1</f>
        <v>3</v>
      </c>
      <c r="BW42" s="3996">
        <f>OFFSET(BW42,0,-1)+1</f>
        <v>4</v>
      </c>
      <c r="BX42" s="3996"/>
      <c r="BY42" s="6540">
        <f>OFFSET(BY42,0,-2)+1</f>
        <v>5</v>
      </c>
      <c r="BZ42" s="1310">
        <f>OFFSET(BZ42,0,-1)</f>
        <v>5</v>
      </c>
      <c r="CA42" s="1400">
        <f>OFFSET(CA42,0,-1)+1</f>
        <v>6</v>
      </c>
      <c r="CB42" s="576"/>
      <c r="CC42" s="576"/>
      <c r="CD42" s="576"/>
      <c r="CE42" s="576"/>
      <c r="CF42" s="576"/>
      <c r="CG42" s="561">
        <v>0</v>
      </c>
    </row>
    <row customHeight="1" ht="22.049999999999997">
      <c r="A43" s="1428" t="s">
        <v>178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3781"/>
      <c r="AM43" s="3782"/>
      <c r="AN43" s="3782"/>
      <c r="AO43" s="3782"/>
      <c r="AP43" s="3782"/>
      <c r="AQ43" s="3782"/>
      <c r="AR43" s="3782"/>
      <c r="AS43" s="3783"/>
      <c r="AT43" s="3781"/>
      <c r="AU43" s="3782"/>
      <c r="AV43" s="3782"/>
      <c r="AW43" s="3782"/>
      <c r="AX43" s="3782"/>
      <c r="AY43" s="3782"/>
      <c r="AZ43" s="3782"/>
      <c r="BA43" s="3783"/>
      <c r="BB43" s="3781"/>
      <c r="BC43" s="3782"/>
      <c r="BD43" s="3782"/>
      <c r="BE43" s="3782"/>
      <c r="BF43" s="3782"/>
      <c r="BG43" s="3782"/>
      <c r="BH43" s="3782"/>
      <c r="BI43" s="3783"/>
      <c r="BJ43" s="3781"/>
      <c r="BK43" s="3782"/>
      <c r="BL43" s="3782"/>
      <c r="BM43" s="3782"/>
      <c r="BN43" s="3782"/>
      <c r="BO43" s="3782"/>
      <c r="BP43" s="3782"/>
      <c r="BQ43" s="3783"/>
      <c r="BR43" s="3781"/>
      <c r="BS43" s="3782"/>
      <c r="BT43" s="3782"/>
      <c r="BU43" s="3782"/>
      <c r="BV43" s="3782"/>
      <c r="BW43" s="3782"/>
      <c r="BX43" s="3782"/>
      <c r="BY43" s="6521"/>
      <c r="BZ43" s="2309"/>
      <c r="CA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65"/>
      <c r="CD43" s="565" t="str">
        <f>IF(T43="","",T43)</f>
        <v>Наименование тарифа</v>
      </c>
      <c r="CE43" s="565"/>
      <c r="CF43" s="565"/>
      <c r="CG43" s="1220">
        <v>21</v>
      </c>
    </row>
    <row customHeight="1" ht="22.049999999999997">
      <c r="A44" s="1428" t="s">
        <v>178</v>
      </c>
      <c r="B44" s="1428" t="s">
        <v>179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406</v>
      </c>
      <c r="U44" s="365"/>
      <c r="V44" s="2307"/>
      <c r="W44" s="2308"/>
      <c r="X44" s="2308"/>
      <c r="Y44" s="2308"/>
      <c r="Z44" s="2308"/>
      <c r="AA44" s="2308"/>
      <c r="AB44" s="2308"/>
      <c r="AC44" s="2309"/>
      <c r="AD44" s="2307" t="str">
        <f>INDEX(PT_DIFFERENTIATION_TER,MATCH(B44,PT_DIFFERENTIATION_TER_ID,0))</f>
        <v>без дифференциации</v>
      </c>
      <c r="AE44" s="2308"/>
      <c r="AF44" s="2308"/>
      <c r="AG44" s="2308"/>
      <c r="AH44" s="2308"/>
      <c r="AI44" s="2308"/>
      <c r="AJ44" s="2308"/>
      <c r="AK44" s="2308"/>
      <c r="AL44" s="3781"/>
      <c r="AM44" s="3782"/>
      <c r="AN44" s="3782"/>
      <c r="AO44" s="3782"/>
      <c r="AP44" s="3782"/>
      <c r="AQ44" s="3782"/>
      <c r="AR44" s="3782"/>
      <c r="AS44" s="3783"/>
      <c r="AT44" s="3781"/>
      <c r="AU44" s="3782"/>
      <c r="AV44" s="3782"/>
      <c r="AW44" s="3782"/>
      <c r="AX44" s="3782"/>
      <c r="AY44" s="3782"/>
      <c r="AZ44" s="3782"/>
      <c r="BA44" s="3783"/>
      <c r="BB44" s="3781"/>
      <c r="BC44" s="3782"/>
      <c r="BD44" s="3782"/>
      <c r="BE44" s="3782"/>
      <c r="BF44" s="3782"/>
      <c r="BG44" s="3782"/>
      <c r="BH44" s="3782"/>
      <c r="BI44" s="3783"/>
      <c r="BJ44" s="3781"/>
      <c r="BK44" s="3782"/>
      <c r="BL44" s="3782"/>
      <c r="BM44" s="3782"/>
      <c r="BN44" s="3782"/>
      <c r="BO44" s="3782"/>
      <c r="BP44" s="3782"/>
      <c r="BQ44" s="3783"/>
      <c r="BR44" s="3781"/>
      <c r="BS44" s="3782"/>
      <c r="BT44" s="3782"/>
      <c r="BU44" s="3782"/>
      <c r="BV44" s="3782"/>
      <c r="BW44" s="3782"/>
      <c r="BX44" s="3782"/>
      <c r="BY44" s="6521"/>
      <c r="BZ44" s="2309"/>
      <c r="CA44" s="1323" t="s">
        <v>407</v>
      </c>
      <c r="CC44" s="565"/>
      <c r="CD44" s="565" t="str">
        <f>IF(T44="","",T44)</f>
        <v>Территория действия тарифа</v>
      </c>
      <c r="CE44" s="565"/>
      <c r="CF44" s="565"/>
      <c r="CG44" s="1220">
        <v>21</v>
      </c>
    </row>
    <row customHeight="1" ht="24">
      <c r="A45" s="1428" t="s">
        <v>178</v>
      </c>
      <c r="B45" s="1428" t="s">
        <v>179</v>
      </c>
      <c r="C45" s="1428" t="s">
        <v>180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408</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781"/>
      <c r="AM45" s="3782"/>
      <c r="AN45" s="3782"/>
      <c r="AO45" s="3782"/>
      <c r="AP45" s="3782"/>
      <c r="AQ45" s="3782"/>
      <c r="AR45" s="3782"/>
      <c r="AS45" s="3783"/>
      <c r="AT45" s="3781"/>
      <c r="AU45" s="3782"/>
      <c r="AV45" s="3782"/>
      <c r="AW45" s="3782"/>
      <c r="AX45" s="3782"/>
      <c r="AY45" s="3782"/>
      <c r="AZ45" s="3782"/>
      <c r="BA45" s="3783"/>
      <c r="BB45" s="3781"/>
      <c r="BC45" s="3782"/>
      <c r="BD45" s="3782"/>
      <c r="BE45" s="3782"/>
      <c r="BF45" s="3782"/>
      <c r="BG45" s="3782"/>
      <c r="BH45" s="3782"/>
      <c r="BI45" s="3783"/>
      <c r="BJ45" s="3781"/>
      <c r="BK45" s="3782"/>
      <c r="BL45" s="3782"/>
      <c r="BM45" s="3782"/>
      <c r="BN45" s="3782"/>
      <c r="BO45" s="3782"/>
      <c r="BP45" s="3782"/>
      <c r="BQ45" s="3783"/>
      <c r="BR45" s="3781"/>
      <c r="BS45" s="3782"/>
      <c r="BT45" s="3782"/>
      <c r="BU45" s="3782"/>
      <c r="BV45" s="3782"/>
      <c r="BW45" s="3782"/>
      <c r="BX45" s="3782"/>
      <c r="BY45" s="6521"/>
      <c r="BZ45" s="2309"/>
      <c r="CA45" s="1323" t="s">
        <v>409</v>
      </c>
      <c r="CC45" s="565"/>
      <c r="CD45" s="565" t="str">
        <f>IF(T45="","",T45)</f>
        <v>Наименование системы теплоснабжения </v>
      </c>
      <c r="CE45" s="565"/>
      <c r="CF45" s="565"/>
      <c r="CG45" s="1220">
        <v>23</v>
      </c>
    </row>
    <row customHeight="1" ht="22.049999999999997">
      <c r="A46" s="1428" t="s">
        <v>178</v>
      </c>
      <c r="B46" s="1428" t="s">
        <v>179</v>
      </c>
      <c r="C46" s="1428" t="s">
        <v>180</v>
      </c>
      <c r="D46" s="1428" t="s">
        <v>181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410</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781"/>
      <c r="AM46" s="3782"/>
      <c r="AN46" s="3782"/>
      <c r="AO46" s="3782"/>
      <c r="AP46" s="3782"/>
      <c r="AQ46" s="3782"/>
      <c r="AR46" s="3782"/>
      <c r="AS46" s="3783"/>
      <c r="AT46" s="3781"/>
      <c r="AU46" s="3782"/>
      <c r="AV46" s="3782"/>
      <c r="AW46" s="3782"/>
      <c r="AX46" s="3782"/>
      <c r="AY46" s="3782"/>
      <c r="AZ46" s="3782"/>
      <c r="BA46" s="3783"/>
      <c r="BB46" s="3781"/>
      <c r="BC46" s="3782"/>
      <c r="BD46" s="3782"/>
      <c r="BE46" s="3782"/>
      <c r="BF46" s="3782"/>
      <c r="BG46" s="3782"/>
      <c r="BH46" s="3782"/>
      <c r="BI46" s="3783"/>
      <c r="BJ46" s="3781"/>
      <c r="BK46" s="3782"/>
      <c r="BL46" s="3782"/>
      <c r="BM46" s="3782"/>
      <c r="BN46" s="3782"/>
      <c r="BO46" s="3782"/>
      <c r="BP46" s="3782"/>
      <c r="BQ46" s="3783"/>
      <c r="BR46" s="3781"/>
      <c r="BS46" s="3782"/>
      <c r="BT46" s="3782"/>
      <c r="BU46" s="3782"/>
      <c r="BV46" s="3782"/>
      <c r="BW46" s="3782"/>
      <c r="BX46" s="3782"/>
      <c r="BY46" s="6521"/>
      <c r="BZ46" s="2309"/>
      <c r="CA46" s="1323" t="s">
        <v>411</v>
      </c>
      <c r="CC46" s="565"/>
      <c r="CD46" s="565" t="str">
        <f>IF(T46="","",T46)</f>
        <v>Источник тепловой энергии  </v>
      </c>
      <c r="CE46" s="565"/>
      <c r="CF46" s="565"/>
      <c r="CG46" s="1220">
        <v>21</v>
      </c>
    </row>
    <row s="5305" customFormat="1" customHeight="1" ht="0">
      <c r="A47" s="1408" t="s">
        <v>178</v>
      </c>
      <c r="B47" s="1408" t="s">
        <v>179</v>
      </c>
      <c r="C47" s="1408" t="s">
        <v>180</v>
      </c>
      <c r="D47" s="1408" t="s">
        <v>181</v>
      </c>
      <c r="E47" s="2324"/>
      <c r="F47" s="2324"/>
      <c r="G47" s="2324"/>
      <c r="H47" s="2324"/>
      <c r="I47" s="2321" t="str">
        <f>S46&amp;".1"</f>
        <v>1.1.1.1.1</v>
      </c>
      <c r="J47" s="1408"/>
      <c r="K47" s="1408"/>
      <c r="L47" s="1411" t="s">
        <v>412</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4633"/>
      <c r="AM47" s="4634"/>
      <c r="AN47" s="4634"/>
      <c r="AO47" s="4634"/>
      <c r="AP47" s="4634"/>
      <c r="AQ47" s="4634"/>
      <c r="AR47" s="4634"/>
      <c r="AS47" s="4635"/>
      <c r="AT47" s="4633"/>
      <c r="AU47" s="4634"/>
      <c r="AV47" s="4634"/>
      <c r="AW47" s="4634"/>
      <c r="AX47" s="4634"/>
      <c r="AY47" s="4634"/>
      <c r="AZ47" s="4634"/>
      <c r="BA47" s="4635"/>
      <c r="BB47" s="4633"/>
      <c r="BC47" s="4634"/>
      <c r="BD47" s="4634"/>
      <c r="BE47" s="4634"/>
      <c r="BF47" s="4634"/>
      <c r="BG47" s="4634"/>
      <c r="BH47" s="4634"/>
      <c r="BI47" s="4635"/>
      <c r="BJ47" s="4633"/>
      <c r="BK47" s="4634"/>
      <c r="BL47" s="4634"/>
      <c r="BM47" s="4634"/>
      <c r="BN47" s="4634"/>
      <c r="BO47" s="4634"/>
      <c r="BP47" s="4634"/>
      <c r="BQ47" s="4635"/>
      <c r="BR47" s="4633"/>
      <c r="BS47" s="4634"/>
      <c r="BT47" s="4634"/>
      <c r="BU47" s="4634"/>
      <c r="BV47" s="4634"/>
      <c r="BW47" s="4634"/>
      <c r="BX47" s="4634"/>
      <c r="BY47" s="6550"/>
      <c r="BZ47" s="2363"/>
      <c r="CA47" s="1450"/>
      <c r="CC47" s="565"/>
      <c r="CD47" s="565" t="str">
        <f>IF(T47="","",T47)</f>
        <v/>
      </c>
      <c r="CE47" s="565"/>
      <c r="CF47" s="565"/>
      <c r="CG47" s="576">
        <v>0</v>
      </c>
    </row>
    <row customHeight="1" ht="22.049999999999997">
      <c r="A48" s="1428" t="s">
        <v>178</v>
      </c>
      <c r="B48" s="1428" t="s">
        <v>179</v>
      </c>
      <c r="C48" s="1428" t="s">
        <v>180</v>
      </c>
      <c r="D48" s="1428" t="s">
        <v>181</v>
      </c>
      <c r="E48" s="2324"/>
      <c r="F48" s="2324"/>
      <c r="G48" s="2324"/>
      <c r="H48" s="2324"/>
      <c r="I48" s="2351"/>
      <c r="J48" s="2321" t="str">
        <f>S46&amp;".1"</f>
        <v>1.1.1.1.1</v>
      </c>
      <c r="K48" s="1428"/>
      <c r="L48" s="1429" t="s">
        <v>415</v>
      </c>
      <c r="P48" s="2322"/>
      <c r="Q48" s="2322">
        <v>1</v>
      </c>
      <c r="R48" s="422"/>
      <c r="S48" s="1401" t="str">
        <f>$J48</f>
        <v>1.1.1.1.1</v>
      </c>
      <c r="T48" s="351" t="s">
        <v>416</v>
      </c>
      <c r="U48" s="365"/>
      <c r="V48" s="2310"/>
      <c r="W48" s="2311"/>
      <c r="X48" s="2311"/>
      <c r="Y48" s="2311"/>
      <c r="Z48" s="2311"/>
      <c r="AA48" s="2311"/>
      <c r="AB48" s="2311"/>
      <c r="AC48" s="2312"/>
      <c r="AD48" s="2310" t="s">
        <v>457</v>
      </c>
      <c r="AE48" s="2311"/>
      <c r="AF48" s="2311"/>
      <c r="AG48" s="2311"/>
      <c r="AH48" s="2311"/>
      <c r="AI48" s="2311"/>
      <c r="AJ48" s="2311"/>
      <c r="AK48" s="2311"/>
      <c r="AL48" s="3786"/>
      <c r="AM48" s="3787"/>
      <c r="AN48" s="3787"/>
      <c r="AO48" s="3787"/>
      <c r="AP48" s="3787"/>
      <c r="AQ48" s="3787"/>
      <c r="AR48" s="3787"/>
      <c r="AS48" s="3788"/>
      <c r="AT48" s="3786"/>
      <c r="AU48" s="3787"/>
      <c r="AV48" s="3787"/>
      <c r="AW48" s="3787"/>
      <c r="AX48" s="3787"/>
      <c r="AY48" s="3787"/>
      <c r="AZ48" s="3787"/>
      <c r="BA48" s="3788"/>
      <c r="BB48" s="3786"/>
      <c r="BC48" s="3787"/>
      <c r="BD48" s="3787"/>
      <c r="BE48" s="3787"/>
      <c r="BF48" s="3787"/>
      <c r="BG48" s="3787"/>
      <c r="BH48" s="3787"/>
      <c r="BI48" s="3788"/>
      <c r="BJ48" s="3786"/>
      <c r="BK48" s="3787"/>
      <c r="BL48" s="3787"/>
      <c r="BM48" s="3787"/>
      <c r="BN48" s="3787"/>
      <c r="BO48" s="3787"/>
      <c r="BP48" s="3787"/>
      <c r="BQ48" s="3788"/>
      <c r="BR48" s="3786"/>
      <c r="BS48" s="3787"/>
      <c r="BT48" s="3787"/>
      <c r="BU48" s="3787"/>
      <c r="BV48" s="3787"/>
      <c r="BW48" s="3787"/>
      <c r="BX48" s="3787"/>
      <c r="BY48" s="6522"/>
      <c r="BZ48" s="2312"/>
      <c r="CA48" s="1323" t="s">
        <v>417</v>
      </c>
      <c r="CC48" s="565"/>
      <c r="CD48" s="565" t="str">
        <f>IF(T48="","",T48)</f>
        <v>Группа потребителей</v>
      </c>
      <c r="CE48" s="565"/>
      <c r="CF48" s="565"/>
      <c r="CG48" s="1220">
        <v>21</v>
      </c>
    </row>
    <row customHeight="1" ht="22.049999999999997">
      <c r="A49" s="1428" t="s">
        <v>178</v>
      </c>
      <c r="B49" s="1428" t="s">
        <v>179</v>
      </c>
      <c r="C49" s="1428" t="s">
        <v>180</v>
      </c>
      <c r="D49" s="1428" t="s">
        <v>181</v>
      </c>
      <c r="E49" s="2324"/>
      <c r="F49" s="2324"/>
      <c r="G49" s="2324"/>
      <c r="H49" s="2324"/>
      <c r="I49" s="2351"/>
      <c r="J49" s="2351"/>
      <c r="K49" s="2321" t="str">
        <f>J48&amp;".1"</f>
        <v>1.1.1.1.1.1</v>
      </c>
      <c r="L49" s="1429" t="s">
        <v>418</v>
      </c>
      <c r="P49" s="2322"/>
      <c r="Q49" s="2322"/>
      <c r="R49" s="422">
        <v>1</v>
      </c>
      <c r="S49" s="1401" t="str">
        <f>$K49</f>
        <v>1.1.1.1.1.1</v>
      </c>
      <c r="T49" s="1412" t="s">
        <v>458</v>
      </c>
      <c r="U49" s="365"/>
      <c r="V49" s="5178"/>
      <c r="W49" s="3790"/>
      <c r="X49" s="5178"/>
      <c r="Y49" s="3791"/>
      <c r="Z49" s="6462"/>
      <c r="AA49" s="5532" t="s">
        <v>64</v>
      </c>
      <c r="AB49" s="6462"/>
      <c r="AC49" s="5532" t="s">
        <v>64</v>
      </c>
      <c r="AD49" s="816">
        <v>87.42</v>
      </c>
      <c r="AE49" s="390"/>
      <c r="AF49" s="816"/>
      <c r="AG49" s="1322"/>
      <c r="AH49" s="6462">
        <v>46023</v>
      </c>
      <c r="AI49" s="2172" t="s">
        <v>64</v>
      </c>
      <c r="AJ49" s="3997">
        <v>46295.64707175926</v>
      </c>
      <c r="AK49" s="2172" t="s">
        <v>64</v>
      </c>
      <c r="AL49" s="3789">
        <v>133.13</v>
      </c>
      <c r="AM49" s="3790"/>
      <c r="AN49" s="3789"/>
      <c r="AO49" s="3791"/>
      <c r="AP49" s="6462">
        <v>46296</v>
      </c>
      <c r="AQ49" s="3121" t="s">
        <v>64</v>
      </c>
      <c r="AR49" s="6462">
        <v>46387.648043981484</v>
      </c>
      <c r="AS49" s="3121" t="s">
        <v>64</v>
      </c>
      <c r="AT49" s="3789">
        <v>90.36</v>
      </c>
      <c r="AU49" s="3790"/>
      <c r="AV49" s="3789"/>
      <c r="AW49" s="3791"/>
      <c r="AX49" s="6462">
        <v>46388.648414351854</v>
      </c>
      <c r="AY49" s="3121" t="s">
        <v>64</v>
      </c>
      <c r="AZ49" s="6462">
        <v>46568.64864583333</v>
      </c>
      <c r="BA49" s="3121" t="s">
        <v>64</v>
      </c>
      <c r="BB49" s="3789">
        <v>93.1</v>
      </c>
      <c r="BC49" s="3790"/>
      <c r="BD49" s="3789"/>
      <c r="BE49" s="3791"/>
      <c r="BF49" s="6462">
        <v>46569.64962962963</v>
      </c>
      <c r="BG49" s="3121" t="s">
        <v>64</v>
      </c>
      <c r="BH49" s="6462">
        <v>46752.64990740741</v>
      </c>
      <c r="BI49" s="3121" t="s">
        <v>64</v>
      </c>
      <c r="BJ49" s="3789">
        <v>93.1</v>
      </c>
      <c r="BK49" s="3790"/>
      <c r="BL49" s="3789"/>
      <c r="BM49" s="3791"/>
      <c r="BN49" s="6462">
        <v>46753.65069444444</v>
      </c>
      <c r="BO49" s="3121" t="s">
        <v>64</v>
      </c>
      <c r="BP49" s="6462">
        <v>46934.650925925926</v>
      </c>
      <c r="BQ49" s="3121" t="s">
        <v>64</v>
      </c>
      <c r="BR49" s="5178">
        <v>95.34</v>
      </c>
      <c r="BS49" s="3790"/>
      <c r="BT49" s="5178"/>
      <c r="BU49" s="3791"/>
      <c r="BV49" s="6462">
        <v>46935</v>
      </c>
      <c r="BW49" s="5532" t="s">
        <v>64</v>
      </c>
      <c r="BX49" s="6462">
        <v>47118</v>
      </c>
      <c r="BY49" s="6523" t="s">
        <v>64</v>
      </c>
      <c r="BZ49" s="1413"/>
      <c r="CA49" s="2318" t="s">
        <v>461</v>
      </c>
      <c r="CB49" s="576">
        <f>STRCHECKDATE(V50:BZ50)</f>
      </c>
      <c r="CC49" s="565"/>
      <c r="CD49" s="565" t="str">
        <f>IF(T49="","",T49)</f>
        <v>вода</v>
      </c>
      <c r="CE49" s="565"/>
      <c r="CF49" s="565"/>
      <c r="CG49" s="1220">
        <v>21</v>
      </c>
    </row>
    <row customHeight="1" ht="1.05">
      <c r="A50" s="1428" t="s">
        <v>178</v>
      </c>
      <c r="B50" s="1428" t="s">
        <v>179</v>
      </c>
      <c r="C50" s="1428" t="s">
        <v>180</v>
      </c>
      <c r="D50" s="1428" t="s">
        <v>181</v>
      </c>
      <c r="E50" s="2324"/>
      <c r="F50" s="2324"/>
      <c r="G50" s="2324"/>
      <c r="H50" s="2324"/>
      <c r="I50" s="2351"/>
      <c r="J50" s="2351"/>
      <c r="K50" s="2321"/>
      <c r="L50" s="1429"/>
      <c r="P50" s="2322"/>
      <c r="Q50" s="2322"/>
      <c r="R50" s="422"/>
      <c r="S50" s="1407"/>
      <c r="T50" s="365"/>
      <c r="U50" s="365"/>
      <c r="V50" s="3790"/>
      <c r="W50" s="3790"/>
      <c r="X50" s="3790"/>
      <c r="Y50" s="3794" t="str">
        <f>Z49&amp;"-"&amp;AB49</f>
        <v>-</v>
      </c>
      <c r="Z50" s="6292"/>
      <c r="AA50" s="5532"/>
      <c r="AB50" s="6292"/>
      <c r="AC50" s="5532"/>
      <c r="AD50" s="390"/>
      <c r="AE50" s="390"/>
      <c r="AF50" s="390"/>
      <c r="AG50" s="393" t="str">
        <f>AH49&amp;"-"&amp;AJ49</f>
        <v>46023-46295.64707175926</v>
      </c>
      <c r="AH50" s="2331"/>
      <c r="AI50" s="2172"/>
      <c r="AJ50" s="2353"/>
      <c r="AK50" s="2172"/>
      <c r="AL50" s="3790"/>
      <c r="AM50" s="3790"/>
      <c r="AN50" s="3790"/>
      <c r="AO50" s="3794" t="str">
        <f>AP49&amp;"-"&amp;AR49</f>
        <v>46296-46387.648043981484</v>
      </c>
      <c r="AP50" s="3795"/>
      <c r="AQ50" s="3121"/>
      <c r="AR50" s="3795"/>
      <c r="AS50" s="3121"/>
      <c r="AT50" s="3790"/>
      <c r="AU50" s="3790"/>
      <c r="AV50" s="3790"/>
      <c r="AW50" s="3794" t="str">
        <f>AX49&amp;"-"&amp;AZ49</f>
        <v>46388.648414351854-46568.64864583333</v>
      </c>
      <c r="AX50" s="3795"/>
      <c r="AY50" s="3121"/>
      <c r="AZ50" s="3795"/>
      <c r="BA50" s="3121"/>
      <c r="BB50" s="3790"/>
      <c r="BC50" s="3790"/>
      <c r="BD50" s="3790"/>
      <c r="BE50" s="3794" t="str">
        <f>BF49&amp;"-"&amp;BH49</f>
        <v>46569.64962962963-46752.64990740741</v>
      </c>
      <c r="BF50" s="3795"/>
      <c r="BG50" s="3121"/>
      <c r="BH50" s="3795"/>
      <c r="BI50" s="3121"/>
      <c r="BJ50" s="3790"/>
      <c r="BK50" s="3790"/>
      <c r="BL50" s="3790"/>
      <c r="BM50" s="3794" t="str">
        <f>BN49&amp;"-"&amp;BP49</f>
        <v>46753.65069444444-46934.650925925926</v>
      </c>
      <c r="BN50" s="3795"/>
      <c r="BO50" s="3121"/>
      <c r="BP50" s="3795"/>
      <c r="BQ50" s="3121"/>
      <c r="BR50" s="3790"/>
      <c r="BS50" s="3790"/>
      <c r="BT50" s="3790"/>
      <c r="BU50" s="3794" t="str">
        <f>BV49&amp;"-"&amp;BX49</f>
        <v>46935-47118</v>
      </c>
      <c r="BV50" s="6292"/>
      <c r="BW50" s="5532"/>
      <c r="BX50" s="6292"/>
      <c r="BY50" s="6523"/>
      <c r="BZ50" s="1414"/>
      <c r="CA50" s="2319"/>
      <c r="CC50" s="565"/>
      <c r="CD50" s="565" t="str">
        <f>IF(T50="","",T50)</f>
        <v/>
      </c>
      <c r="CE50" s="565"/>
      <c r="CF50" s="565"/>
      <c r="CG50" s="1220">
        <v>1</v>
      </c>
    </row>
    <row customHeight="1" ht="11.549999999999999">
      <c r="A51" s="1428" t="s">
        <v>178</v>
      </c>
      <c r="B51" s="1428" t="s">
        <v>179</v>
      </c>
      <c r="C51" s="1428" t="s">
        <v>180</v>
      </c>
      <c r="D51" s="1428" t="s">
        <v>181</v>
      </c>
      <c r="E51" s="2324"/>
      <c r="F51" s="2324"/>
      <c r="G51" s="2324"/>
      <c r="H51" s="2324"/>
      <c r="I51" s="2351"/>
      <c r="J51" s="2321"/>
      <c r="K51" s="1428"/>
      <c r="L51" s="1429"/>
      <c r="P51" s="2322"/>
      <c r="Q51" s="2322"/>
      <c r="R51" s="421"/>
      <c r="S51" s="1343"/>
      <c r="T51" s="352" t="s">
        <v>420</v>
      </c>
      <c r="U51" s="432"/>
      <c r="V51" s="432"/>
      <c r="W51" s="432"/>
      <c r="X51" s="432"/>
      <c r="Y51" s="432"/>
      <c r="Z51" s="432"/>
      <c r="AA51" s="432"/>
      <c r="AB51" s="432"/>
      <c r="AC51" s="432"/>
      <c r="AD51" s="432"/>
      <c r="AE51" s="432"/>
      <c r="AF51" s="432"/>
      <c r="AG51" s="432"/>
      <c r="AH51" s="432"/>
      <c r="AI51" s="432"/>
      <c r="AJ51" s="432"/>
      <c r="AK51" s="432"/>
      <c r="AL51" s="4727"/>
      <c r="AM51" s="4728"/>
      <c r="AN51" s="4729"/>
      <c r="AO51" s="4730"/>
      <c r="AP51" s="4731"/>
      <c r="AQ51" s="4732"/>
      <c r="AR51" s="4733"/>
      <c r="AS51" s="4734"/>
      <c r="AT51" s="4735"/>
      <c r="AU51" s="4736"/>
      <c r="AV51" s="4737"/>
      <c r="AW51" s="4738"/>
      <c r="AX51" s="4739"/>
      <c r="AY51" s="4740"/>
      <c r="AZ51" s="4741"/>
      <c r="BA51" s="4742"/>
      <c r="BB51" s="4743"/>
      <c r="BC51" s="4744"/>
      <c r="BD51" s="4745"/>
      <c r="BE51" s="4746"/>
      <c r="BF51" s="4747"/>
      <c r="BG51" s="4748"/>
      <c r="BH51" s="4749"/>
      <c r="BI51" s="4750"/>
      <c r="BJ51" s="4751"/>
      <c r="BK51" s="4752"/>
      <c r="BL51" s="4753"/>
      <c r="BM51" s="4754"/>
      <c r="BN51" s="4755"/>
      <c r="BO51" s="4756"/>
      <c r="BP51" s="4757"/>
      <c r="BQ51" s="4758"/>
      <c r="BR51" s="4759"/>
      <c r="BS51" s="4760"/>
      <c r="BT51" s="4761"/>
      <c r="BU51" s="4762"/>
      <c r="BV51" s="4763"/>
      <c r="BW51" s="4764"/>
      <c r="BX51" s="4765"/>
      <c r="BY51" s="6555"/>
      <c r="BZ51" s="389"/>
      <c r="CA51" s="2320"/>
      <c r="CC51" s="565"/>
      <c r="CD51" s="565" t="str">
        <f>IF(T51="","",T51)</f>
        <v>Добавить вид теплоносителя (параметры теплоносителя)</v>
      </c>
      <c r="CE51" s="565"/>
      <c r="CF51" s="565"/>
      <c r="CG51" s="1220">
        <v>11</v>
      </c>
    </row>
    <row s="6516" customFormat="1" customHeight="1" ht="21">
      <c r="A52" s="4055"/>
      <c r="B52" s="4055"/>
      <c r="C52" s="4055"/>
      <c r="D52" s="4055"/>
      <c r="E52" s="4056"/>
      <c r="F52" s="4056"/>
      <c r="G52" s="4056"/>
      <c r="H52" s="4056"/>
      <c r="I52" s="4057"/>
      <c r="J52" s="4058" t="str">
        <f>S46&amp;".2"</f>
        <v>1.1.1.1.2</v>
      </c>
      <c r="K52" s="4055"/>
      <c r="L52" s="4059" t="s">
        <v>415</v>
      </c>
      <c r="M52" s="3966"/>
      <c r="N52" s="3966"/>
      <c r="O52" s="4060"/>
      <c r="P52" s="4061"/>
      <c r="Q52" s="4062" t="s">
        <v>454</v>
      </c>
      <c r="R52" s="4063"/>
      <c r="S52" s="4064" t="str">
        <f>$J52</f>
        <v>1.1.1.1.2</v>
      </c>
      <c r="T52" s="4065" t="s">
        <v>416</v>
      </c>
      <c r="U52" s="4066"/>
      <c r="V52" s="3786"/>
      <c r="W52" s="3787"/>
      <c r="X52" s="3787"/>
      <c r="Y52" s="3787"/>
      <c r="Z52" s="3787"/>
      <c r="AA52" s="3787"/>
      <c r="AB52" s="3787"/>
      <c r="AC52" s="3788"/>
      <c r="AD52" s="3786" t="s">
        <v>457</v>
      </c>
      <c r="AE52" s="3787"/>
      <c r="AF52" s="3787"/>
      <c r="AG52" s="3787"/>
      <c r="AH52" s="3787"/>
      <c r="AI52" s="3787"/>
      <c r="AJ52" s="3787"/>
      <c r="AK52" s="3787"/>
      <c r="AL52" s="3786"/>
      <c r="AM52" s="3787"/>
      <c r="AN52" s="3787"/>
      <c r="AO52" s="3787"/>
      <c r="AP52" s="3787"/>
      <c r="AQ52" s="3787"/>
      <c r="AR52" s="3787"/>
      <c r="AS52" s="3788"/>
      <c r="AT52" s="3786"/>
      <c r="AU52" s="3787"/>
      <c r="AV52" s="3787"/>
      <c r="AW52" s="3787"/>
      <c r="AX52" s="3787"/>
      <c r="AY52" s="3787"/>
      <c r="AZ52" s="3787"/>
      <c r="BA52" s="3788"/>
      <c r="BB52" s="3786"/>
      <c r="BC52" s="3787"/>
      <c r="BD52" s="3787"/>
      <c r="BE52" s="3787"/>
      <c r="BF52" s="3787"/>
      <c r="BG52" s="3787"/>
      <c r="BH52" s="3787"/>
      <c r="BI52" s="3788"/>
      <c r="BJ52" s="3786"/>
      <c r="BK52" s="3787"/>
      <c r="BL52" s="3787"/>
      <c r="BM52" s="3787"/>
      <c r="BN52" s="3787"/>
      <c r="BO52" s="3787"/>
      <c r="BP52" s="3787"/>
      <c r="BQ52" s="3788"/>
      <c r="BR52" s="3786"/>
      <c r="BS52" s="3787"/>
      <c r="BT52" s="3787"/>
      <c r="BU52" s="3787"/>
      <c r="BV52" s="3787"/>
      <c r="BW52" s="3787"/>
      <c r="BX52" s="3787"/>
      <c r="BY52" s="6522"/>
      <c r="BZ52" s="3788"/>
      <c r="CA52" s="4067" t="s">
        <v>417</v>
      </c>
      <c r="CB52" s="3975"/>
      <c r="CC52" s="4068"/>
      <c r="CD52" s="4068" t="str">
        <f>IF(T52="","",T52)</f>
        <v>Группа потребителей</v>
      </c>
      <c r="CE52" s="4068"/>
      <c r="CF52" s="4068"/>
      <c r="CG52" s="3779">
        <v>0</v>
      </c>
    </row>
    <row s="6516" customFormat="1" customHeight="1" ht="21">
      <c r="A53" s="4055"/>
      <c r="B53" s="4055"/>
      <c r="C53" s="4055"/>
      <c r="D53" s="4055"/>
      <c r="E53" s="4056"/>
      <c r="F53" s="4056"/>
      <c r="G53" s="4056"/>
      <c r="H53" s="4056"/>
      <c r="I53" s="4057"/>
      <c r="J53" s="4057" t="str">
        <f>S46&amp;".1"</f>
        <v>1.1.1.1.1</v>
      </c>
      <c r="K53" s="4058" t="str">
        <f>J52&amp;".1"</f>
        <v>1.1.1.1.2.1</v>
      </c>
      <c r="L53" s="4059" t="s">
        <v>418</v>
      </c>
      <c r="M53" s="3966"/>
      <c r="N53" s="3966"/>
      <c r="O53" s="3966"/>
      <c r="P53" s="4061"/>
      <c r="Q53" s="4061"/>
      <c r="R53" s="4063">
        <v>1</v>
      </c>
      <c r="S53" s="4064" t="str">
        <f>$K53</f>
        <v>1.1.1.1.2.1</v>
      </c>
      <c r="T53" s="4070" t="s">
        <v>458</v>
      </c>
      <c r="U53" s="4066"/>
      <c r="V53" s="5178"/>
      <c r="W53" s="3790"/>
      <c r="X53" s="5178"/>
      <c r="Y53" s="3791"/>
      <c r="Z53" s="6462"/>
      <c r="AA53" s="5532" t="s">
        <v>64</v>
      </c>
      <c r="AB53" s="6462"/>
      <c r="AC53" s="5532" t="s">
        <v>64</v>
      </c>
      <c r="AD53" s="3789">
        <f>AD49</f>
        <v>87.42</v>
      </c>
      <c r="AE53" s="3790"/>
      <c r="AF53" s="3789"/>
      <c r="AG53" s="3791"/>
      <c r="AH53" s="6462">
        <v>46023</v>
      </c>
      <c r="AI53" s="3121" t="s">
        <v>64</v>
      </c>
      <c r="AJ53" s="6462">
        <v>46295.64766203704</v>
      </c>
      <c r="AK53" s="3121" t="s">
        <v>64</v>
      </c>
      <c r="AL53" s="3789">
        <f>AL49</f>
        <v>133.13</v>
      </c>
      <c r="AM53" s="3790"/>
      <c r="AN53" s="3789"/>
      <c r="AO53" s="3791"/>
      <c r="AP53" s="6462">
        <v>46296</v>
      </c>
      <c r="AQ53" s="3121" t="s">
        <v>64</v>
      </c>
      <c r="AR53" s="6462">
        <v>46387.648125</v>
      </c>
      <c r="AS53" s="3121" t="s">
        <v>64</v>
      </c>
      <c r="AT53" s="3789">
        <f>AT49</f>
        <v>90.36</v>
      </c>
      <c r="AU53" s="3790"/>
      <c r="AV53" s="3789"/>
      <c r="AW53" s="3791"/>
      <c r="AX53" s="6462" t="str">
        <f>AX49</f>
        <v>46388.648414351854</v>
      </c>
      <c r="AY53" s="3121" t="s">
        <v>64</v>
      </c>
      <c r="AZ53" s="6462" t="str">
        <f>AZ49</f>
        <v>46568.64864583333</v>
      </c>
      <c r="BA53" s="3121" t="s">
        <v>64</v>
      </c>
      <c r="BB53" s="3789">
        <f>BB49</f>
        <v>93.1</v>
      </c>
      <c r="BC53" s="3790"/>
      <c r="BD53" s="3789"/>
      <c r="BE53" s="3791"/>
      <c r="BF53" s="6462">
        <v>46569.64974537037</v>
      </c>
      <c r="BG53" s="3121" t="s">
        <v>64</v>
      </c>
      <c r="BH53" s="6462" t="str">
        <f>BH49</f>
        <v>46752.64990740741</v>
      </c>
      <c r="BI53" s="3121" t="s">
        <v>64</v>
      </c>
      <c r="BJ53" s="3789">
        <f>BJ49</f>
        <v>93.1</v>
      </c>
      <c r="BK53" s="3790"/>
      <c r="BL53" s="3789"/>
      <c r="BM53" s="3791"/>
      <c r="BN53" s="6462" t="str">
        <f>BN49</f>
        <v>46753.65069444444</v>
      </c>
      <c r="BO53" s="3121" t="s">
        <v>64</v>
      </c>
      <c r="BP53" s="6462" t="str">
        <f>BP49</f>
        <v>46934.650925925926</v>
      </c>
      <c r="BQ53" s="3121" t="s">
        <v>64</v>
      </c>
      <c r="BR53" s="5178">
        <f>BR49</f>
        <v>95.34</v>
      </c>
      <c r="BS53" s="3790"/>
      <c r="BT53" s="5178"/>
      <c r="BU53" s="3791"/>
      <c r="BV53" s="6462" t="str">
        <f>BV49</f>
        <v>46935</v>
      </c>
      <c r="BW53" s="5532" t="s">
        <v>64</v>
      </c>
      <c r="BX53" s="6462" t="str">
        <f>BX49</f>
        <v>47118</v>
      </c>
      <c r="BY53" s="6523" t="s">
        <v>64</v>
      </c>
      <c r="BZ53" s="3790"/>
      <c r="CA53" s="4071" t="s">
        <v>419</v>
      </c>
      <c r="CB53" s="3975">
        <f>STRCHECKDATE(V54:BZ54)</f>
      </c>
      <c r="CC53" s="4068"/>
      <c r="CD53" s="4068" t="str">
        <f>IF(T53="","",T53)</f>
        <v>вода</v>
      </c>
      <c r="CE53" s="4068"/>
      <c r="CF53" s="4068"/>
      <c r="CG53" s="3779">
        <v>0</v>
      </c>
    </row>
    <row s="6516" customFormat="1" customHeight="1" ht="0.75">
      <c r="A54" s="4055"/>
      <c r="B54" s="4055"/>
      <c r="C54" s="4055"/>
      <c r="D54" s="4055"/>
      <c r="E54" s="4056"/>
      <c r="F54" s="4056"/>
      <c r="G54" s="4056"/>
      <c r="H54" s="4056"/>
      <c r="I54" s="4057"/>
      <c r="J54" s="4057" t="str">
        <f>S46&amp;".1"</f>
        <v>1.1.1.1.1</v>
      </c>
      <c r="K54" s="4058"/>
      <c r="L54" s="4059"/>
      <c r="M54" s="3966"/>
      <c r="N54" s="3966"/>
      <c r="O54" s="3966"/>
      <c r="P54" s="4061"/>
      <c r="Q54" s="4061"/>
      <c r="R54" s="4063"/>
      <c r="S54" s="4073"/>
      <c r="T54" s="4066"/>
      <c r="U54" s="4066"/>
      <c r="V54" s="3790"/>
      <c r="W54" s="3790"/>
      <c r="X54" s="3790"/>
      <c r="Y54" s="3794" t="str">
        <f>Z53&amp;"-"&amp;AB53</f>
        <v>-</v>
      </c>
      <c r="Z54" s="6292"/>
      <c r="AA54" s="5532"/>
      <c r="AB54" s="6292"/>
      <c r="AC54" s="5532"/>
      <c r="AD54" s="3790"/>
      <c r="AE54" s="3790"/>
      <c r="AF54" s="3790"/>
      <c r="AG54" s="3794" t="str">
        <f>AH53&amp;"-"&amp;AJ53</f>
        <v>46023-46295.64766203704</v>
      </c>
      <c r="AH54" s="3795"/>
      <c r="AI54" s="3121"/>
      <c r="AJ54" s="3795"/>
      <c r="AK54" s="3121"/>
      <c r="AL54" s="3790"/>
      <c r="AM54" s="3790"/>
      <c r="AN54" s="3790"/>
      <c r="AO54" s="3794" t="str">
        <f>AP53&amp;"-"&amp;AR53</f>
        <v>46296-46387.648125</v>
      </c>
      <c r="AP54" s="3795"/>
      <c r="AQ54" s="3121"/>
      <c r="AR54" s="3795"/>
      <c r="AS54" s="3121"/>
      <c r="AT54" s="3790"/>
      <c r="AU54" s="3790"/>
      <c r="AV54" s="3790"/>
      <c r="AW54" s="3794" t="str">
        <f>AX53&amp;"-"&amp;AZ53</f>
        <v>46388.648414351854-46568.64864583333</v>
      </c>
      <c r="AX54" s="3795"/>
      <c r="AY54" s="3121"/>
      <c r="AZ54" s="3795"/>
      <c r="BA54" s="3121"/>
      <c r="BB54" s="3790"/>
      <c r="BC54" s="3790"/>
      <c r="BD54" s="3790"/>
      <c r="BE54" s="3794" t="str">
        <f>BF53&amp;"-"&amp;BH53</f>
        <v>46569.64974537037-46752.64990740741</v>
      </c>
      <c r="BF54" s="3795"/>
      <c r="BG54" s="3121"/>
      <c r="BH54" s="3795"/>
      <c r="BI54" s="3121"/>
      <c r="BJ54" s="3790"/>
      <c r="BK54" s="3790"/>
      <c r="BL54" s="3790"/>
      <c r="BM54" s="3794" t="str">
        <f>BN53&amp;"-"&amp;BP53</f>
        <v>46753.65069444444-46934.650925925926</v>
      </c>
      <c r="BN54" s="3795"/>
      <c r="BO54" s="3121"/>
      <c r="BP54" s="3795"/>
      <c r="BQ54" s="3121"/>
      <c r="BR54" s="3790"/>
      <c r="BS54" s="3790"/>
      <c r="BT54" s="3790"/>
      <c r="BU54" s="3794" t="str">
        <f>BV53&amp;"-"&amp;BX53</f>
        <v>46935-47118</v>
      </c>
      <c r="BV54" s="6292"/>
      <c r="BW54" s="5532"/>
      <c r="BX54" s="6292"/>
      <c r="BY54" s="6523"/>
      <c r="BZ54" s="3790"/>
      <c r="CA54" s="4074"/>
      <c r="CB54" s="3975"/>
      <c r="CC54" s="4068"/>
      <c r="CD54" s="4068" t="str">
        <f>IF(T54="","",T54)</f>
        <v/>
      </c>
      <c r="CE54" s="4068"/>
      <c r="CF54" s="4068"/>
      <c r="CG54" s="3779">
        <v>0</v>
      </c>
    </row>
    <row s="6516" customFormat="1" customHeight="1" ht="15">
      <c r="A55" s="4055"/>
      <c r="B55" s="4055"/>
      <c r="C55" s="4055"/>
      <c r="D55" s="4055"/>
      <c r="E55" s="4056"/>
      <c r="F55" s="4056"/>
      <c r="G55" s="4056"/>
      <c r="H55" s="4056"/>
      <c r="I55" s="4057"/>
      <c r="J55" s="4058" t="str">
        <f>S46&amp;".1"</f>
        <v>1.1.1.1.1</v>
      </c>
      <c r="K55" s="4055"/>
      <c r="L55" s="4059"/>
      <c r="M55" s="3966"/>
      <c r="N55" s="3966"/>
      <c r="O55" s="4060"/>
      <c r="P55" s="4061"/>
      <c r="Q55" s="4061"/>
      <c r="R55" s="4076"/>
      <c r="S55" s="4771"/>
      <c r="T55" s="4772" t="s">
        <v>420</v>
      </c>
      <c r="U55" s="4773"/>
      <c r="V55" s="4774"/>
      <c r="W55" s="4775"/>
      <c r="X55" s="4776"/>
      <c r="Y55" s="4777"/>
      <c r="Z55" s="4778"/>
      <c r="AA55" s="4779"/>
      <c r="AB55" s="4780"/>
      <c r="AC55" s="4781"/>
      <c r="AD55" s="4782"/>
      <c r="AE55" s="4783"/>
      <c r="AF55" s="4784"/>
      <c r="AG55" s="4785"/>
      <c r="AH55" s="4786"/>
      <c r="AI55" s="4787"/>
      <c r="AJ55" s="4788"/>
      <c r="AK55" s="4789"/>
      <c r="AL55" s="4790"/>
      <c r="AM55" s="4791"/>
      <c r="AN55" s="4792"/>
      <c r="AO55" s="4793"/>
      <c r="AP55" s="4794"/>
      <c r="AQ55" s="4795"/>
      <c r="AR55" s="4796"/>
      <c r="AS55" s="4797"/>
      <c r="AT55" s="4798"/>
      <c r="AU55" s="4799"/>
      <c r="AV55" s="4800"/>
      <c r="AW55" s="4801"/>
      <c r="AX55" s="4802"/>
      <c r="AY55" s="4803"/>
      <c r="AZ55" s="4804"/>
      <c r="BA55" s="4805"/>
      <c r="BB55" s="4806"/>
      <c r="BC55" s="4807"/>
      <c r="BD55" s="4808"/>
      <c r="BE55" s="4809"/>
      <c r="BF55" s="4810"/>
      <c r="BG55" s="4811"/>
      <c r="BH55" s="4812"/>
      <c r="BI55" s="4813"/>
      <c r="BJ55" s="4814"/>
      <c r="BK55" s="4815"/>
      <c r="BL55" s="4816"/>
      <c r="BM55" s="4817"/>
      <c r="BN55" s="4818"/>
      <c r="BO55" s="4819"/>
      <c r="BP55" s="4820"/>
      <c r="BQ55" s="4821"/>
      <c r="BR55" s="4822"/>
      <c r="BS55" s="4823"/>
      <c r="BT55" s="4824"/>
      <c r="BU55" s="4825"/>
      <c r="BV55" s="4826"/>
      <c r="BW55" s="4827"/>
      <c r="BX55" s="4828"/>
      <c r="BY55" s="6556"/>
      <c r="BZ55" s="4830"/>
      <c r="CA55" s="4153"/>
      <c r="CB55" s="3975"/>
      <c r="CC55" s="4068"/>
      <c r="CD55" s="4068" t="str">
        <f>IF(T55="","",T55)</f>
        <v>Добавить вид теплоносителя (параметры теплоносителя)</v>
      </c>
      <c r="CE55" s="4068"/>
      <c r="CF55" s="4068"/>
      <c r="CG55" s="3779">
        <v>0</v>
      </c>
    </row>
    <row s="6516" customFormat="1" customHeight="1" ht="21">
      <c r="A56" s="4055"/>
      <c r="B56" s="4055"/>
      <c r="C56" s="4055"/>
      <c r="D56" s="4055"/>
      <c r="E56" s="4056"/>
      <c r="F56" s="4056"/>
      <c r="G56" s="4056"/>
      <c r="H56" s="4056"/>
      <c r="I56" s="4057"/>
      <c r="J56" s="4058" t="str">
        <f>S46&amp;".3"</f>
        <v>1.1.1.1.3</v>
      </c>
      <c r="K56" s="4055"/>
      <c r="L56" s="4059" t="s">
        <v>415</v>
      </c>
      <c r="M56" s="3966"/>
      <c r="N56" s="3966"/>
      <c r="O56" s="4060"/>
      <c r="P56" s="4061"/>
      <c r="Q56" s="4062" t="s">
        <v>454</v>
      </c>
      <c r="R56" s="4063"/>
      <c r="S56" s="4064" t="str">
        <f>$J56</f>
        <v>1.1.1.1.3</v>
      </c>
      <c r="T56" s="4065" t="s">
        <v>416</v>
      </c>
      <c r="U56" s="4066"/>
      <c r="V56" s="3786"/>
      <c r="W56" s="3787"/>
      <c r="X56" s="3787"/>
      <c r="Y56" s="3787"/>
      <c r="Z56" s="3787"/>
      <c r="AA56" s="3787"/>
      <c r="AB56" s="3787"/>
      <c r="AC56" s="3788"/>
      <c r="AD56" s="3786" t="s">
        <v>459</v>
      </c>
      <c r="AE56" s="3787"/>
      <c r="AF56" s="3787"/>
      <c r="AG56" s="3787"/>
      <c r="AH56" s="3787"/>
      <c r="AI56" s="3787"/>
      <c r="AJ56" s="3787"/>
      <c r="AK56" s="3787"/>
      <c r="AL56" s="3786"/>
      <c r="AM56" s="3787"/>
      <c r="AN56" s="3787"/>
      <c r="AO56" s="3787"/>
      <c r="AP56" s="3787"/>
      <c r="AQ56" s="3787"/>
      <c r="AR56" s="3787"/>
      <c r="AS56" s="3788"/>
      <c r="AT56" s="3786"/>
      <c r="AU56" s="3787"/>
      <c r="AV56" s="3787"/>
      <c r="AW56" s="3787"/>
      <c r="AX56" s="3787"/>
      <c r="AY56" s="3787"/>
      <c r="AZ56" s="3787"/>
      <c r="BA56" s="3788"/>
      <c r="BB56" s="3786"/>
      <c r="BC56" s="3787"/>
      <c r="BD56" s="3787"/>
      <c r="BE56" s="3787"/>
      <c r="BF56" s="3787"/>
      <c r="BG56" s="3787"/>
      <c r="BH56" s="3787"/>
      <c r="BI56" s="3788"/>
      <c r="BJ56" s="3786"/>
      <c r="BK56" s="3787"/>
      <c r="BL56" s="3787"/>
      <c r="BM56" s="3787"/>
      <c r="BN56" s="3787"/>
      <c r="BO56" s="3787"/>
      <c r="BP56" s="3787"/>
      <c r="BQ56" s="3788"/>
      <c r="BR56" s="3786"/>
      <c r="BS56" s="3787"/>
      <c r="BT56" s="3787"/>
      <c r="BU56" s="3787"/>
      <c r="BV56" s="3787"/>
      <c r="BW56" s="3787"/>
      <c r="BX56" s="3787"/>
      <c r="BY56" s="6522"/>
      <c r="BZ56" s="3788"/>
      <c r="CA56" s="4067" t="s">
        <v>417</v>
      </c>
      <c r="CB56" s="3975"/>
      <c r="CC56" s="4068"/>
      <c r="CD56" s="4068" t="str">
        <f>IF(T56="","",T56)</f>
        <v>Группа потребителей</v>
      </c>
      <c r="CE56" s="4068"/>
      <c r="CF56" s="4068"/>
      <c r="CG56" s="3779">
        <v>0</v>
      </c>
    </row>
    <row s="6516" customFormat="1" customHeight="1" ht="21">
      <c r="A57" s="4055"/>
      <c r="B57" s="4055"/>
      <c r="C57" s="4055"/>
      <c r="D57" s="4055"/>
      <c r="E57" s="4056"/>
      <c r="F57" s="4056"/>
      <c r="G57" s="4056"/>
      <c r="H57" s="4056"/>
      <c r="I57" s="4057"/>
      <c r="J57" s="4057" t="str">
        <f>S46&amp;".2"</f>
        <v>1.1.1.1.2</v>
      </c>
      <c r="K57" s="4058" t="str">
        <f>J56&amp;".1"</f>
        <v>1.1.1.1.3.1</v>
      </c>
      <c r="L57" s="4059" t="s">
        <v>418</v>
      </c>
      <c r="M57" s="3966"/>
      <c r="N57" s="3966"/>
      <c r="O57" s="3966"/>
      <c r="P57" s="4061"/>
      <c r="Q57" s="4061"/>
      <c r="R57" s="4063">
        <v>1</v>
      </c>
      <c r="S57" s="4064" t="str">
        <f>$K57</f>
        <v>1.1.1.1.3.1</v>
      </c>
      <c r="T57" s="4070" t="s">
        <v>458</v>
      </c>
      <c r="U57" s="4066"/>
      <c r="V57" s="3789"/>
      <c r="W57" s="3790"/>
      <c r="X57" s="3789"/>
      <c r="Y57" s="3791"/>
      <c r="Z57" s="3792"/>
      <c r="AA57" s="3121" t="s">
        <v>64</v>
      </c>
      <c r="AB57" s="3792"/>
      <c r="AC57" s="3121" t="s">
        <v>64</v>
      </c>
      <c r="AD57" s="3789">
        <v>74.95</v>
      </c>
      <c r="AE57" s="3790"/>
      <c r="AF57" s="3789"/>
      <c r="AG57" s="3791"/>
      <c r="AH57" s="6462" t="str">
        <f>AH53</f>
        <v>46023</v>
      </c>
      <c r="AI57" s="3121" t="s">
        <v>64</v>
      </c>
      <c r="AJ57" s="6462" t="str">
        <f>AJ53</f>
        <v>46295.64766203704</v>
      </c>
      <c r="AK57" s="3121" t="s">
        <v>64</v>
      </c>
      <c r="AL57" s="3789">
        <v>83.94</v>
      </c>
      <c r="AM57" s="3790"/>
      <c r="AN57" s="3789"/>
      <c r="AO57" s="3791"/>
      <c r="AP57" s="6462" t="str">
        <f>AP53</f>
        <v>46296</v>
      </c>
      <c r="AQ57" s="3121" t="s">
        <v>64</v>
      </c>
      <c r="AR57" s="6462" t="str">
        <f>AR53</f>
        <v>46387.648125</v>
      </c>
      <c r="AS57" s="3121" t="s">
        <v>64</v>
      </c>
      <c r="AT57" s="3789">
        <v>74.18</v>
      </c>
      <c r="AU57" s="3790"/>
      <c r="AV57" s="3789"/>
      <c r="AW57" s="3791"/>
      <c r="AX57" s="6462" t="str">
        <f>AX53</f>
        <v>46388.648414351854</v>
      </c>
      <c r="AY57" s="3121" t="s">
        <v>64</v>
      </c>
      <c r="AZ57" s="6462" t="str">
        <f>AZ53</f>
        <v>46568.64864583333</v>
      </c>
      <c r="BA57" s="3121" t="s">
        <v>64</v>
      </c>
      <c r="BB57" s="3789">
        <v>77.15</v>
      </c>
      <c r="BC57" s="3790"/>
      <c r="BD57" s="3789"/>
      <c r="BE57" s="3791"/>
      <c r="BF57" s="6462" t="str">
        <f>BF53</f>
        <v>46569.64974537037</v>
      </c>
      <c r="BG57" s="3121" t="s">
        <v>64</v>
      </c>
      <c r="BH57" s="6462" t="str">
        <f>BH53</f>
        <v>46752.64990740741</v>
      </c>
      <c r="BI57" s="3121" t="s">
        <v>64</v>
      </c>
      <c r="BJ57" s="3789">
        <v>77.15</v>
      </c>
      <c r="BK57" s="3790"/>
      <c r="BL57" s="3789"/>
      <c r="BM57" s="3791"/>
      <c r="BN57" s="6462" t="str">
        <f>BN53</f>
        <v>46753.65069444444</v>
      </c>
      <c r="BO57" s="3121" t="s">
        <v>64</v>
      </c>
      <c r="BP57" s="6462" t="str">
        <f>BP53</f>
        <v>46934.650925925926</v>
      </c>
      <c r="BQ57" s="3121" t="s">
        <v>64</v>
      </c>
      <c r="BR57" s="3789">
        <v>80.23</v>
      </c>
      <c r="BS57" s="3790"/>
      <c r="BT57" s="3789"/>
      <c r="BU57" s="3791"/>
      <c r="BV57" s="3792">
        <v>46935.6577662037</v>
      </c>
      <c r="BW57" s="3121" t="s">
        <v>64</v>
      </c>
      <c r="BX57" s="6462" t="str">
        <f>BX53</f>
        <v>47118</v>
      </c>
      <c r="BY57" s="3121" t="s">
        <v>64</v>
      </c>
      <c r="BZ57" s="3790"/>
      <c r="CA57" s="4071" t="s">
        <v>419</v>
      </c>
      <c r="CB57" s="3975">
        <f>STRCHECKDATE(V58:BZ58)</f>
      </c>
      <c r="CC57" s="4068"/>
      <c r="CD57" s="4068" t="str">
        <f>IF(T57="","",T57)</f>
        <v>вода</v>
      </c>
      <c r="CE57" s="4068"/>
      <c r="CF57" s="4068"/>
      <c r="CG57" s="3779">
        <v>0</v>
      </c>
    </row>
    <row s="6516" customFormat="1" customHeight="1" ht="0.75">
      <c r="A58" s="4055"/>
      <c r="B58" s="4055"/>
      <c r="C58" s="4055"/>
      <c r="D58" s="4055"/>
      <c r="E58" s="4056"/>
      <c r="F58" s="4056"/>
      <c r="G58" s="4056"/>
      <c r="H58" s="4056"/>
      <c r="I58" s="4057"/>
      <c r="J58" s="4057" t="str">
        <f>S46&amp;".2"</f>
        <v>1.1.1.1.2</v>
      </c>
      <c r="K58" s="4058"/>
      <c r="L58" s="4059"/>
      <c r="M58" s="3966"/>
      <c r="N58" s="3966"/>
      <c r="O58" s="3966"/>
      <c r="P58" s="4061"/>
      <c r="Q58" s="4061"/>
      <c r="R58" s="4063"/>
      <c r="S58" s="4073"/>
      <c r="T58" s="4066"/>
      <c r="U58" s="4066"/>
      <c r="V58" s="3790"/>
      <c r="W58" s="3790"/>
      <c r="X58" s="3790"/>
      <c r="Y58" s="3794" t="str">
        <f>Z57&amp;"-"&amp;AB57</f>
        <v>-</v>
      </c>
      <c r="Z58" s="3795"/>
      <c r="AA58" s="3121"/>
      <c r="AB58" s="3795"/>
      <c r="AC58" s="3121"/>
      <c r="AD58" s="3790"/>
      <c r="AE58" s="3790"/>
      <c r="AF58" s="3790"/>
      <c r="AG58" s="3794" t="str">
        <f>AH57&amp;"-"&amp;AJ57</f>
        <v>46023-46295.64766203704</v>
      </c>
      <c r="AH58" s="3795"/>
      <c r="AI58" s="3121"/>
      <c r="AJ58" s="3795"/>
      <c r="AK58" s="3121"/>
      <c r="AL58" s="3790"/>
      <c r="AM58" s="3790"/>
      <c r="AN58" s="3790"/>
      <c r="AO58" s="3794" t="str">
        <f>AP57&amp;"-"&amp;AR57</f>
        <v>46296-46387.648125</v>
      </c>
      <c r="AP58" s="3795"/>
      <c r="AQ58" s="3121"/>
      <c r="AR58" s="3795"/>
      <c r="AS58" s="3121"/>
      <c r="AT58" s="3790"/>
      <c r="AU58" s="3790"/>
      <c r="AV58" s="3790"/>
      <c r="AW58" s="3794" t="str">
        <f>AX57&amp;"-"&amp;AZ57</f>
        <v>46388.648414351854-46568.64864583333</v>
      </c>
      <c r="AX58" s="3795"/>
      <c r="AY58" s="3121"/>
      <c r="AZ58" s="3795"/>
      <c r="BA58" s="3121"/>
      <c r="BB58" s="3790"/>
      <c r="BC58" s="3790"/>
      <c r="BD58" s="3790"/>
      <c r="BE58" s="3794" t="str">
        <f>BF57&amp;"-"&amp;BH57</f>
        <v>46569.64974537037-46752.64990740741</v>
      </c>
      <c r="BF58" s="3795"/>
      <c r="BG58" s="3121"/>
      <c r="BH58" s="3795"/>
      <c r="BI58" s="3121"/>
      <c r="BJ58" s="3790"/>
      <c r="BK58" s="3790"/>
      <c r="BL58" s="3790"/>
      <c r="BM58" s="3794" t="str">
        <f>BN57&amp;"-"&amp;BP57</f>
        <v>46753.65069444444-46934.650925925926</v>
      </c>
      <c r="BN58" s="3795"/>
      <c r="BO58" s="3121"/>
      <c r="BP58" s="3795"/>
      <c r="BQ58" s="3121"/>
      <c r="BR58" s="3790"/>
      <c r="BS58" s="3790"/>
      <c r="BT58" s="3790"/>
      <c r="BU58" s="3794" t="str">
        <f>BV57&amp;"-"&amp;BX57</f>
        <v>46935.6577662037-47118</v>
      </c>
      <c r="BV58" s="3795"/>
      <c r="BW58" s="3121"/>
      <c r="BX58" s="3795"/>
      <c r="BY58" s="3121"/>
      <c r="BZ58" s="3790"/>
      <c r="CA58" s="4074"/>
      <c r="CB58" s="3975"/>
      <c r="CC58" s="4068"/>
      <c r="CD58" s="4068" t="str">
        <f>IF(T58="","",T58)</f>
        <v/>
      </c>
      <c r="CE58" s="4068"/>
      <c r="CF58" s="4068"/>
      <c r="CG58" s="3779">
        <v>0</v>
      </c>
    </row>
    <row s="6516" customFormat="1" customHeight="1" ht="15">
      <c r="A59" s="4055"/>
      <c r="B59" s="4055"/>
      <c r="C59" s="4055"/>
      <c r="D59" s="4055"/>
      <c r="E59" s="4056"/>
      <c r="F59" s="4056"/>
      <c r="G59" s="4056"/>
      <c r="H59" s="4056"/>
      <c r="I59" s="4057"/>
      <c r="J59" s="4058" t="str">
        <f>S46&amp;".2"</f>
        <v>1.1.1.1.2</v>
      </c>
      <c r="K59" s="4055"/>
      <c r="L59" s="4059"/>
      <c r="M59" s="3966"/>
      <c r="N59" s="3966"/>
      <c r="O59" s="4060"/>
      <c r="P59" s="4061"/>
      <c r="Q59" s="4061"/>
      <c r="R59" s="4076"/>
      <c r="S59" s="4835"/>
      <c r="T59" s="4836" t="s">
        <v>420</v>
      </c>
      <c r="U59" s="4837"/>
      <c r="V59" s="4838"/>
      <c r="W59" s="4839"/>
      <c r="X59" s="4840"/>
      <c r="Y59" s="4841"/>
      <c r="Z59" s="4842"/>
      <c r="AA59" s="4843"/>
      <c r="AB59" s="4844"/>
      <c r="AC59" s="4845"/>
      <c r="AD59" s="4846"/>
      <c r="AE59" s="4847"/>
      <c r="AF59" s="4848"/>
      <c r="AG59" s="4849"/>
      <c r="AH59" s="4850"/>
      <c r="AI59" s="4851"/>
      <c r="AJ59" s="4852"/>
      <c r="AK59" s="4853"/>
      <c r="AL59" s="4854"/>
      <c r="AM59" s="4855"/>
      <c r="AN59" s="4856"/>
      <c r="AO59" s="4857"/>
      <c r="AP59" s="4858"/>
      <c r="AQ59" s="4859"/>
      <c r="AR59" s="4860"/>
      <c r="AS59" s="4861"/>
      <c r="AT59" s="4862"/>
      <c r="AU59" s="4863"/>
      <c r="AV59" s="4864"/>
      <c r="AW59" s="4865"/>
      <c r="AX59" s="4866"/>
      <c r="AY59" s="4867"/>
      <c r="AZ59" s="4868"/>
      <c r="BA59" s="4869"/>
      <c r="BB59" s="4870"/>
      <c r="BC59" s="4871"/>
      <c r="BD59" s="4872"/>
      <c r="BE59" s="4873"/>
      <c r="BF59" s="4874"/>
      <c r="BG59" s="4875"/>
      <c r="BH59" s="4876"/>
      <c r="BI59" s="4877"/>
      <c r="BJ59" s="4878"/>
      <c r="BK59" s="4879"/>
      <c r="BL59" s="4880"/>
      <c r="BM59" s="4881"/>
      <c r="BN59" s="4882"/>
      <c r="BO59" s="4883"/>
      <c r="BP59" s="4884"/>
      <c r="BQ59" s="4885"/>
      <c r="BR59" s="4886"/>
      <c r="BS59" s="4887"/>
      <c r="BT59" s="4888"/>
      <c r="BU59" s="4889"/>
      <c r="BV59" s="4890"/>
      <c r="BW59" s="4891"/>
      <c r="BX59" s="4892"/>
      <c r="BY59" s="6557"/>
      <c r="BZ59" s="4894"/>
      <c r="CA59" s="4153"/>
      <c r="CB59" s="3975"/>
      <c r="CC59" s="4068"/>
      <c r="CD59" s="4068" t="str">
        <f>IF(T59="","",T59)</f>
        <v>Добавить вид теплоносителя (параметры теплоносителя)</v>
      </c>
      <c r="CE59" s="4068"/>
      <c r="CF59" s="4068"/>
      <c r="CG59" s="3779">
        <v>0</v>
      </c>
    </row>
    <row customHeight="1" ht="11.549999999999999">
      <c r="A60" s="1428" t="s">
        <v>178</v>
      </c>
      <c r="B60" s="1428" t="s">
        <v>179</v>
      </c>
      <c r="C60" s="1428" t="s">
        <v>180</v>
      </c>
      <c r="D60" s="1428" t="s">
        <v>181</v>
      </c>
      <c r="E60" s="2324"/>
      <c r="F60" s="2324"/>
      <c r="G60" s="2324"/>
      <c r="H60" s="2324"/>
      <c r="I60" s="2321"/>
      <c r="J60" s="1428"/>
      <c r="K60" s="1428"/>
      <c r="L60" s="1429"/>
      <c r="P60" s="2322"/>
      <c r="Q60" s="1396"/>
      <c r="R60" s="421"/>
      <c r="S60" s="1343"/>
      <c r="T60" s="430" t="s">
        <v>421</v>
      </c>
      <c r="U60" s="432"/>
      <c r="V60" s="432"/>
      <c r="W60" s="432"/>
      <c r="X60" s="432"/>
      <c r="Y60" s="432"/>
      <c r="Z60" s="432"/>
      <c r="AA60" s="432"/>
      <c r="AB60" s="432"/>
      <c r="AC60" s="431"/>
      <c r="AD60" s="432"/>
      <c r="AE60" s="432"/>
      <c r="AF60" s="432"/>
      <c r="AG60" s="432"/>
      <c r="AH60" s="432"/>
      <c r="AI60" s="432"/>
      <c r="AJ60" s="432"/>
      <c r="AK60" s="431"/>
      <c r="AL60" s="4895"/>
      <c r="AM60" s="4896"/>
      <c r="AN60" s="4897"/>
      <c r="AO60" s="4898"/>
      <c r="AP60" s="4899"/>
      <c r="AQ60" s="4900"/>
      <c r="AR60" s="4901"/>
      <c r="AS60" s="4902"/>
      <c r="AT60" s="4903"/>
      <c r="AU60" s="4904"/>
      <c r="AV60" s="4905"/>
      <c r="AW60" s="4906"/>
      <c r="AX60" s="4907"/>
      <c r="AY60" s="4908"/>
      <c r="AZ60" s="4909"/>
      <c r="BA60" s="4910"/>
      <c r="BB60" s="4911"/>
      <c r="BC60" s="4912"/>
      <c r="BD60" s="4913"/>
      <c r="BE60" s="4914"/>
      <c r="BF60" s="4915"/>
      <c r="BG60" s="4916"/>
      <c r="BH60" s="4917"/>
      <c r="BI60" s="4918"/>
      <c r="BJ60" s="4919"/>
      <c r="BK60" s="4920"/>
      <c r="BL60" s="4921"/>
      <c r="BM60" s="4922"/>
      <c r="BN60" s="4923"/>
      <c r="BO60" s="4924"/>
      <c r="BP60" s="4925"/>
      <c r="BQ60" s="4926"/>
      <c r="BR60" s="4927"/>
      <c r="BS60" s="4928"/>
      <c r="BT60" s="4929"/>
      <c r="BU60" s="4930"/>
      <c r="BV60" s="4931"/>
      <c r="BW60" s="4932"/>
      <c r="BX60" s="4933"/>
      <c r="BY60" s="6558"/>
      <c r="BZ60" s="432"/>
      <c r="CA60" s="368"/>
      <c r="CC60" s="565"/>
      <c r="CD60" s="565" t="str">
        <f>IF(T60="","",T60)</f>
        <v>Добавить группу потребителей</v>
      </c>
      <c r="CE60" s="565"/>
      <c r="CF60" s="565"/>
      <c r="CG60" s="1220">
        <v>11</v>
      </c>
    </row>
    <row customHeight="1" ht="0">
      <c r="A61" s="1428" t="s">
        <v>178</v>
      </c>
      <c r="B61" s="1428" t="s">
        <v>179</v>
      </c>
      <c r="C61" s="1428" t="s">
        <v>180</v>
      </c>
      <c r="D61" s="1428" t="s">
        <v>181</v>
      </c>
      <c r="E61" s="2324"/>
      <c r="F61" s="2324"/>
      <c r="G61" s="2324"/>
      <c r="H61" s="2323"/>
      <c r="I61" s="1428"/>
      <c r="J61" s="1428"/>
      <c r="K61" s="1428"/>
      <c r="L61" s="1429"/>
      <c r="M61" s="1430"/>
      <c r="N61" s="1430"/>
      <c r="O61" s="602"/>
      <c r="P61" s="425"/>
      <c r="Q61" s="440"/>
      <c r="R61" s="420"/>
      <c r="S61" s="1451"/>
      <c r="T61" s="1452"/>
      <c r="U61" s="1453"/>
      <c r="V61" s="1453"/>
      <c r="W61" s="1453"/>
      <c r="X61" s="1453"/>
      <c r="Y61" s="1453"/>
      <c r="Z61" s="1453"/>
      <c r="AA61" s="1453"/>
      <c r="AB61" s="1453"/>
      <c r="AC61" s="1453"/>
      <c r="AD61" s="1453"/>
      <c r="AE61" s="1453"/>
      <c r="AF61" s="1453"/>
      <c r="AG61" s="1453"/>
      <c r="AH61" s="1453"/>
      <c r="AI61" s="1453"/>
      <c r="AJ61" s="1453"/>
      <c r="AK61" s="1453"/>
      <c r="AL61" s="4720"/>
      <c r="AM61" s="4720"/>
      <c r="AN61" s="4720"/>
      <c r="AO61" s="4720"/>
      <c r="AP61" s="4720"/>
      <c r="AQ61" s="4720"/>
      <c r="AR61" s="4720"/>
      <c r="AS61" s="4720"/>
      <c r="AT61" s="4720"/>
      <c r="AU61" s="4720"/>
      <c r="AV61" s="4720"/>
      <c r="AW61" s="4720"/>
      <c r="AX61" s="4720"/>
      <c r="AY61" s="4720"/>
      <c r="AZ61" s="4720"/>
      <c r="BA61" s="4720"/>
      <c r="BB61" s="4720"/>
      <c r="BC61" s="4720"/>
      <c r="BD61" s="4720"/>
      <c r="BE61" s="4720"/>
      <c r="BF61" s="4720"/>
      <c r="BG61" s="4720"/>
      <c r="BH61" s="4720"/>
      <c r="BI61" s="4720"/>
      <c r="BJ61" s="4720"/>
      <c r="BK61" s="4720"/>
      <c r="BL61" s="4720"/>
      <c r="BM61" s="4720"/>
      <c r="BN61" s="4720"/>
      <c r="BO61" s="4720"/>
      <c r="BP61" s="4720"/>
      <c r="BQ61" s="4720"/>
      <c r="BR61" s="4720"/>
      <c r="BS61" s="4720"/>
      <c r="BT61" s="4720"/>
      <c r="BU61" s="4720"/>
      <c r="BV61" s="4720"/>
      <c r="BW61" s="4720"/>
      <c r="BX61" s="4720"/>
      <c r="BY61" s="6553"/>
      <c r="BZ61" s="1453"/>
      <c r="CA61" s="1454"/>
      <c r="CC61" s="565"/>
      <c r="CD61" s="565" t="str">
        <f>IF(T61="","",T61)</f>
        <v/>
      </c>
      <c r="CE61" s="565"/>
      <c r="CF61" s="565"/>
      <c r="CG61" s="1220">
        <v>0</v>
      </c>
    </row>
    <row s="5305" customFormat="1" customHeight="1" ht="1.05">
      <c r="A62" s="1408" t="s">
        <v>178</v>
      </c>
      <c r="B62" s="1408" t="s">
        <v>179</v>
      </c>
      <c r="C62" s="1408" t="s">
        <v>180</v>
      </c>
      <c r="D62" s="1379"/>
      <c r="E62" s="2324"/>
      <c r="F62" s="2324"/>
      <c r="G62" s="2323"/>
      <c r="H62" s="1379"/>
      <c r="I62" s="1379"/>
      <c r="J62" s="1379"/>
      <c r="K62" s="1379"/>
      <c r="L62" s="1404"/>
      <c r="M62" s="1380"/>
      <c r="N62" s="1380"/>
      <c r="P62" s="1381"/>
      <c r="Q62" s="1382"/>
      <c r="R62" s="1381"/>
      <c r="S62" s="1387"/>
      <c r="T62" s="1390" t="s">
        <v>170</v>
      </c>
      <c r="U62" s="1389"/>
      <c r="V62" s="1389"/>
      <c r="W62" s="1389"/>
      <c r="X62" s="1389"/>
      <c r="Y62" s="1389"/>
      <c r="Z62" s="1389"/>
      <c r="AA62" s="1389"/>
      <c r="AB62" s="1389"/>
      <c r="AC62" s="1389"/>
      <c r="AD62" s="1389"/>
      <c r="AE62" s="1389"/>
      <c r="AF62" s="1389"/>
      <c r="AG62" s="1389"/>
      <c r="AH62" s="1389"/>
      <c r="AI62" s="1389"/>
      <c r="AJ62" s="1389"/>
      <c r="AK62" s="1389"/>
      <c r="AL62" s="3965"/>
      <c r="AM62" s="3965"/>
      <c r="AN62" s="3965"/>
      <c r="AO62" s="3965"/>
      <c r="AP62" s="3965"/>
      <c r="AQ62" s="3965"/>
      <c r="AR62" s="3965"/>
      <c r="AS62" s="3965"/>
      <c r="AT62" s="3965"/>
      <c r="AU62" s="3965"/>
      <c r="AV62" s="3965"/>
      <c r="AW62" s="3965"/>
      <c r="AX62" s="3965"/>
      <c r="AY62" s="3965"/>
      <c r="AZ62" s="3965"/>
      <c r="BA62" s="3965"/>
      <c r="BB62" s="3965"/>
      <c r="BC62" s="3965"/>
      <c r="BD62" s="3965"/>
      <c r="BE62" s="3965"/>
      <c r="BF62" s="3965"/>
      <c r="BG62" s="3965"/>
      <c r="BH62" s="3965"/>
      <c r="BI62" s="3965"/>
      <c r="BJ62" s="3965"/>
      <c r="BK62" s="3965"/>
      <c r="BL62" s="3965"/>
      <c r="BM62" s="3965"/>
      <c r="BN62" s="3965"/>
      <c r="BO62" s="3965"/>
      <c r="BP62" s="3965"/>
      <c r="BQ62" s="3965"/>
      <c r="BR62" s="3965"/>
      <c r="BS62" s="3965"/>
      <c r="BT62" s="3965"/>
      <c r="BU62" s="3965"/>
      <c r="BV62" s="3965"/>
      <c r="BW62" s="3965"/>
      <c r="BX62" s="3965"/>
      <c r="BY62" s="3965"/>
      <c r="BZ62" s="1389"/>
      <c r="CA62" s="1389"/>
      <c r="CC62" s="854"/>
      <c r="CD62" s="854" t="str">
        <f>IF(T62="","",T62)</f>
        <v>Добавить источник для дифференциации</v>
      </c>
      <c r="CE62" s="854"/>
      <c r="CF62" s="854"/>
      <c r="CG62" s="583">
        <v>1</v>
      </c>
    </row>
    <row s="5305" customFormat="1" customHeight="1" ht="1.05">
      <c r="A63" s="1408" t="s">
        <v>178</v>
      </c>
      <c r="B63" s="1408" t="s">
        <v>179</v>
      </c>
      <c r="C63" s="1379"/>
      <c r="D63" s="1379"/>
      <c r="E63" s="2324"/>
      <c r="F63" s="2323"/>
      <c r="G63" s="1379"/>
      <c r="H63" s="1379"/>
      <c r="I63" s="1379"/>
      <c r="J63" s="1379"/>
      <c r="K63" s="1379"/>
      <c r="L63" s="1404"/>
      <c r="M63" s="1386"/>
      <c r="N63" s="1386"/>
      <c r="P63" s="1381"/>
      <c r="Q63" s="1382"/>
      <c r="R63" s="1381"/>
      <c r="S63" s="1387"/>
      <c r="T63" s="1390" t="s">
        <v>171</v>
      </c>
      <c r="U63" s="1389"/>
      <c r="V63" s="1389"/>
      <c r="W63" s="1389"/>
      <c r="X63" s="1389"/>
      <c r="Y63" s="1389"/>
      <c r="Z63" s="1389"/>
      <c r="AA63" s="1389"/>
      <c r="AB63" s="1389"/>
      <c r="AC63" s="1389"/>
      <c r="AD63" s="1389"/>
      <c r="AE63" s="1389"/>
      <c r="AF63" s="1389"/>
      <c r="AG63" s="1389"/>
      <c r="AH63" s="1389"/>
      <c r="AI63" s="1389"/>
      <c r="AJ63" s="1389"/>
      <c r="AK63" s="1389"/>
      <c r="AL63" s="3965"/>
      <c r="AM63" s="3965"/>
      <c r="AN63" s="3965"/>
      <c r="AO63" s="3965"/>
      <c r="AP63" s="3965"/>
      <c r="AQ63" s="3965"/>
      <c r="AR63" s="3965"/>
      <c r="AS63" s="3965"/>
      <c r="AT63" s="3965"/>
      <c r="AU63" s="3965"/>
      <c r="AV63" s="3965"/>
      <c r="AW63" s="3965"/>
      <c r="AX63" s="3965"/>
      <c r="AY63" s="3965"/>
      <c r="AZ63" s="3965"/>
      <c r="BA63" s="3965"/>
      <c r="BB63" s="3965"/>
      <c r="BC63" s="3965"/>
      <c r="BD63" s="3965"/>
      <c r="BE63" s="3965"/>
      <c r="BF63" s="3965"/>
      <c r="BG63" s="3965"/>
      <c r="BH63" s="3965"/>
      <c r="BI63" s="3965"/>
      <c r="BJ63" s="3965"/>
      <c r="BK63" s="3965"/>
      <c r="BL63" s="3965"/>
      <c r="BM63" s="3965"/>
      <c r="BN63" s="3965"/>
      <c r="BO63" s="3965"/>
      <c r="BP63" s="3965"/>
      <c r="BQ63" s="3965"/>
      <c r="BR63" s="3965"/>
      <c r="BS63" s="3965"/>
      <c r="BT63" s="3965"/>
      <c r="BU63" s="3965"/>
      <c r="BV63" s="3965"/>
      <c r="BW63" s="3965"/>
      <c r="BX63" s="3965"/>
      <c r="BY63" s="3965"/>
      <c r="BZ63" s="1389"/>
      <c r="CA63" s="1389"/>
      <c r="CC63" s="854"/>
      <c r="CD63" s="854" t="str">
        <f>IF(T63="","",T63)</f>
        <v>Добавить централизованную систему для дифференциации</v>
      </c>
      <c r="CE63" s="854"/>
      <c r="CF63" s="854"/>
      <c r="CG63" s="583">
        <v>1</v>
      </c>
    </row>
    <row s="5305" customFormat="1" customHeight="1" ht="1.05">
      <c r="A64" s="1408" t="s">
        <v>178</v>
      </c>
      <c r="B64" s="1408"/>
      <c r="C64" s="1408"/>
      <c r="D64" s="1408"/>
      <c r="E64" s="2323"/>
      <c r="F64" s="1408"/>
      <c r="G64" s="1408"/>
      <c r="H64" s="1408"/>
      <c r="I64" s="1408"/>
      <c r="J64" s="1408"/>
      <c r="K64" s="1408"/>
      <c r="L64" s="1411"/>
      <c r="M64" s="1386"/>
      <c r="N64" s="1386"/>
      <c r="O64" s="583"/>
      <c r="P64" s="445"/>
      <c r="Q64" s="1409"/>
      <c r="R64" s="445"/>
      <c r="S64" s="1387"/>
      <c r="T64" s="1390" t="s">
        <v>172</v>
      </c>
      <c r="U64" s="1389"/>
      <c r="V64" s="1389"/>
      <c r="W64" s="1389"/>
      <c r="X64" s="1389"/>
      <c r="Y64" s="1389"/>
      <c r="Z64" s="1389"/>
      <c r="AA64" s="1389"/>
      <c r="AB64" s="1389"/>
      <c r="AC64" s="1389"/>
      <c r="AD64" s="1389"/>
      <c r="AE64" s="1389"/>
      <c r="AF64" s="1389"/>
      <c r="AG64" s="1389"/>
      <c r="AH64" s="1389"/>
      <c r="AI64" s="1389"/>
      <c r="AJ64" s="1389"/>
      <c r="AK64" s="1389"/>
      <c r="AL64" s="3965"/>
      <c r="AM64" s="3965"/>
      <c r="AN64" s="3965"/>
      <c r="AO64" s="3965"/>
      <c r="AP64" s="3965"/>
      <c r="AQ64" s="3965"/>
      <c r="AR64" s="3965"/>
      <c r="AS64" s="3965"/>
      <c r="AT64" s="3965"/>
      <c r="AU64" s="3965"/>
      <c r="AV64" s="3965"/>
      <c r="AW64" s="3965"/>
      <c r="AX64" s="3965"/>
      <c r="AY64" s="3965"/>
      <c r="AZ64" s="3965"/>
      <c r="BA64" s="3965"/>
      <c r="BB64" s="3965"/>
      <c r="BC64" s="3965"/>
      <c r="BD64" s="3965"/>
      <c r="BE64" s="3965"/>
      <c r="BF64" s="3965"/>
      <c r="BG64" s="3965"/>
      <c r="BH64" s="3965"/>
      <c r="BI64" s="3965"/>
      <c r="BJ64" s="3965"/>
      <c r="BK64" s="3965"/>
      <c r="BL64" s="3965"/>
      <c r="BM64" s="3965"/>
      <c r="BN64" s="3965"/>
      <c r="BO64" s="3965"/>
      <c r="BP64" s="3965"/>
      <c r="BQ64" s="3965"/>
      <c r="BR64" s="3965"/>
      <c r="BS64" s="3965"/>
      <c r="BT64" s="3965"/>
      <c r="BU64" s="3965"/>
      <c r="BV64" s="3965"/>
      <c r="BW64" s="3965"/>
      <c r="BX64" s="3965"/>
      <c r="BY64" s="3965"/>
      <c r="BZ64" s="1389"/>
      <c r="CA64" s="1389"/>
      <c r="CC64" s="565"/>
      <c r="CD64" s="565" t="str">
        <f>IF(T64="","",T64)</f>
        <v>Добавить территорию для дифференциации</v>
      </c>
      <c r="CE64" s="565"/>
      <c r="CF64" s="565"/>
      <c r="CG64" s="576">
        <v>1</v>
      </c>
    </row>
    <row s="5305" customFormat="1" customHeight="1" ht="1.05">
      <c r="A65" s="1379"/>
      <c r="B65" s="1379"/>
      <c r="C65" s="1379"/>
      <c r="D65" s="1379"/>
      <c r="E65" s="1408"/>
      <c r="F65" s="1379"/>
      <c r="G65" s="1379"/>
      <c r="H65" s="1379"/>
      <c r="I65" s="1379"/>
      <c r="J65" s="1379"/>
      <c r="K65" s="1379"/>
      <c r="L65" s="1404"/>
      <c r="M65" s="1386"/>
      <c r="N65" s="1386"/>
      <c r="P65" s="1381"/>
      <c r="Q65" s="1382"/>
      <c r="R65" s="1381"/>
      <c r="S65" s="1387"/>
      <c r="T65" s="1390" t="s">
        <v>173</v>
      </c>
      <c r="U65" s="1389"/>
      <c r="V65" s="1389"/>
      <c r="W65" s="1389"/>
      <c r="X65" s="1389"/>
      <c r="Y65" s="1389"/>
      <c r="Z65" s="1389"/>
      <c r="AA65" s="1389"/>
      <c r="AB65" s="1389"/>
      <c r="AC65" s="1389"/>
      <c r="AD65" s="1389"/>
      <c r="AE65" s="1389"/>
      <c r="AF65" s="1389"/>
      <c r="AG65" s="1389"/>
      <c r="AH65" s="1389"/>
      <c r="AI65" s="1389"/>
      <c r="AJ65" s="1389"/>
      <c r="AK65" s="1389"/>
      <c r="AL65" s="3965"/>
      <c r="AM65" s="3965"/>
      <c r="AN65" s="3965"/>
      <c r="AO65" s="3965"/>
      <c r="AP65" s="3965"/>
      <c r="AQ65" s="3965"/>
      <c r="AR65" s="3965"/>
      <c r="AS65" s="3965"/>
      <c r="AT65" s="3965"/>
      <c r="AU65" s="3965"/>
      <c r="AV65" s="3965"/>
      <c r="AW65" s="3965"/>
      <c r="AX65" s="3965"/>
      <c r="AY65" s="3965"/>
      <c r="AZ65" s="3965"/>
      <c r="BA65" s="3965"/>
      <c r="BB65" s="3965"/>
      <c r="BC65" s="3965"/>
      <c r="BD65" s="3965"/>
      <c r="BE65" s="3965"/>
      <c r="BF65" s="3965"/>
      <c r="BG65" s="3965"/>
      <c r="BH65" s="3965"/>
      <c r="BI65" s="3965"/>
      <c r="BJ65" s="3965"/>
      <c r="BK65" s="3965"/>
      <c r="BL65" s="3965"/>
      <c r="BM65" s="3965"/>
      <c r="BN65" s="3965"/>
      <c r="BO65" s="3965"/>
      <c r="BP65" s="3965"/>
      <c r="BQ65" s="3965"/>
      <c r="BR65" s="3965"/>
      <c r="BS65" s="3965"/>
      <c r="BT65" s="3965"/>
      <c r="BU65" s="3965"/>
      <c r="BV65" s="3965"/>
      <c r="BW65" s="3965"/>
      <c r="BX65" s="3965"/>
      <c r="BY65" s="3965"/>
      <c r="BZ65" s="1389"/>
      <c r="CA65" s="1389"/>
      <c r="CC65" s="854"/>
      <c r="CD65" s="854" t="str">
        <f>IF(T65="","",T65)</f>
        <v>Добавить наименование тарифа</v>
      </c>
      <c r="CE65" s="854"/>
      <c r="CF65" s="854"/>
      <c r="CG65" s="583">
        <v>1</v>
      </c>
    </row>
    <row customHeight="1" ht="11.549999999999999">
      <c r="M66" s="1225"/>
      <c r="N66" s="1225"/>
      <c r="O66" s="602"/>
      <c r="P66" s="1220"/>
      <c r="Q66" s="1220"/>
      <c r="R66" s="1220"/>
      <c r="S66" s="1220"/>
      <c r="AL66" s="3779"/>
      <c r="AM66" s="3779"/>
      <c r="AN66" s="3779"/>
      <c r="AO66" s="3779"/>
      <c r="AP66" s="3779"/>
      <c r="AQ66" s="3779"/>
      <c r="AR66" s="3779"/>
      <c r="AS66" s="3779"/>
      <c r="AT66" s="3779"/>
      <c r="AU66" s="3779"/>
      <c r="AV66" s="3779"/>
      <c r="AW66" s="3779"/>
      <c r="AX66" s="3779"/>
      <c r="AY66" s="3779"/>
      <c r="AZ66" s="3779"/>
      <c r="BA66" s="3779"/>
      <c r="BB66" s="3779"/>
      <c r="BC66" s="3779"/>
      <c r="BD66" s="3779"/>
      <c r="BE66" s="3779"/>
      <c r="BF66" s="3779"/>
      <c r="BG66" s="3779"/>
      <c r="BH66" s="3779"/>
      <c r="BI66" s="3779"/>
      <c r="BJ66" s="3779"/>
      <c r="BK66" s="3779"/>
      <c r="BL66" s="3779"/>
      <c r="BM66" s="3779"/>
      <c r="BN66" s="3779"/>
      <c r="BO66" s="3779"/>
      <c r="BP66" s="3779"/>
      <c r="BQ66" s="3779"/>
      <c r="BR66" s="3779"/>
      <c r="BS66" s="3779"/>
      <c r="BT66" s="3779"/>
      <c r="BU66" s="3779"/>
      <c r="BV66" s="3779"/>
      <c r="BW66" s="3779"/>
      <c r="BX66" s="3779"/>
      <c r="BY66" s="6520"/>
      <c r="CB66" s="1220"/>
      <c r="CC66" s="1220"/>
      <c r="CD66" s="1220"/>
      <c r="CE66" s="1220"/>
      <c r="CF66" s="1220"/>
      <c r="CG66" s="1220">
        <v>11</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4586"/>
      <c r="AM67" s="4586"/>
      <c r="AN67" s="4586"/>
      <c r="AO67" s="4586"/>
      <c r="AP67" s="4586"/>
      <c r="AQ67" s="4586"/>
      <c r="AR67" s="4586"/>
      <c r="AS67" s="4586"/>
      <c r="AT67" s="4586"/>
      <c r="AU67" s="4586"/>
      <c r="AV67" s="4586"/>
      <c r="AW67" s="4586"/>
      <c r="AX67" s="4586"/>
      <c r="AY67" s="4586"/>
      <c r="AZ67" s="4586"/>
      <c r="BA67" s="4586"/>
      <c r="BB67" s="4586"/>
      <c r="BC67" s="4586"/>
      <c r="BD67" s="4586"/>
      <c r="BE67" s="4586"/>
      <c r="BF67" s="4586"/>
      <c r="BG67" s="4586"/>
      <c r="BH67" s="4586"/>
      <c r="BI67" s="4586"/>
      <c r="BJ67" s="4586"/>
      <c r="BK67" s="4586"/>
      <c r="BL67" s="4586"/>
      <c r="BM67" s="4586"/>
      <c r="BN67" s="4586"/>
      <c r="BO67" s="4586"/>
      <c r="BP67" s="4586"/>
      <c r="BQ67" s="4586"/>
      <c r="BR67" s="4586"/>
      <c r="BS67" s="4586"/>
      <c r="BT67" s="4586"/>
      <c r="BU67" s="4586"/>
      <c r="BV67" s="4586"/>
      <c r="BW67" s="4586"/>
      <c r="BX67" s="4586"/>
      <c r="BY67" s="6549"/>
      <c r="BZ67" s="2350"/>
      <c r="CA67" s="2350"/>
      <c r="CG67" s="1220">
        <v>19</v>
      </c>
    </row>
    <row customHeight="1" ht="29.25">
      <c r="O68" s="602"/>
      <c r="T68" s="2350"/>
      <c r="U68" s="2350"/>
      <c r="V68" s="2350"/>
      <c r="W68" s="2350"/>
      <c r="X68" s="2350"/>
      <c r="Y68" s="2350"/>
      <c r="Z68" s="2350"/>
      <c r="AA68" s="2350"/>
      <c r="AB68" s="2350"/>
      <c r="AC68" s="2350"/>
      <c r="AD68" s="2350"/>
      <c r="AE68" s="2350"/>
      <c r="AF68" s="2350"/>
      <c r="AG68" s="2350"/>
      <c r="AH68" s="2350"/>
      <c r="AI68" s="2350"/>
      <c r="AJ68" s="2350"/>
      <c r="AK68" s="2350"/>
      <c r="AL68" s="4586"/>
      <c r="AM68" s="4586"/>
      <c r="AN68" s="4586"/>
      <c r="AO68" s="4586"/>
      <c r="AP68" s="4586"/>
      <c r="AQ68" s="4586"/>
      <c r="AR68" s="4586"/>
      <c r="AS68" s="4586"/>
      <c r="AT68" s="4586"/>
      <c r="AU68" s="4586"/>
      <c r="AV68" s="4586"/>
      <c r="AW68" s="4586"/>
      <c r="AX68" s="4586"/>
      <c r="AY68" s="4586"/>
      <c r="AZ68" s="4586"/>
      <c r="BA68" s="4586"/>
      <c r="BB68" s="4586"/>
      <c r="BC68" s="4586"/>
      <c r="BD68" s="4586"/>
      <c r="BE68" s="4586"/>
      <c r="BF68" s="4586"/>
      <c r="BG68" s="4586"/>
      <c r="BH68" s="4586"/>
      <c r="BI68" s="4586"/>
      <c r="BJ68" s="4586"/>
      <c r="BK68" s="4586"/>
      <c r="BL68" s="4586"/>
      <c r="BM68" s="4586"/>
      <c r="BN68" s="4586"/>
      <c r="BO68" s="4586"/>
      <c r="BP68" s="4586"/>
      <c r="BQ68" s="4586"/>
      <c r="BR68" s="4586"/>
      <c r="BS68" s="4586"/>
      <c r="BT68" s="4586"/>
      <c r="BU68" s="4586"/>
      <c r="BV68" s="4586"/>
      <c r="BW68" s="4586"/>
      <c r="BX68" s="4586"/>
      <c r="BY68" s="6549"/>
      <c r="BZ68" s="2350"/>
      <c r="CA68" s="2350"/>
      <c r="CG68" s="1220">
        <v>28</v>
      </c>
    </row>
    <row customHeight="1" ht="42">
      <c r="O69" s="602"/>
      <c r="T69" s="2350"/>
      <c r="U69" s="2350"/>
      <c r="V69" s="2350"/>
      <c r="W69" s="2350"/>
      <c r="X69" s="2350"/>
      <c r="Y69" s="2350"/>
      <c r="Z69" s="2350"/>
      <c r="AA69" s="2350"/>
      <c r="AB69" s="2350"/>
      <c r="AC69" s="2350"/>
      <c r="AD69" s="2350"/>
      <c r="AE69" s="2350"/>
      <c r="AF69" s="2350"/>
      <c r="AG69" s="2350"/>
      <c r="AH69" s="2350"/>
      <c r="AI69" s="2350"/>
      <c r="AJ69" s="2350"/>
      <c r="AK69" s="2350"/>
      <c r="AL69" s="4586"/>
      <c r="AM69" s="4586"/>
      <c r="AN69" s="4586"/>
      <c r="AO69" s="4586"/>
      <c r="AP69" s="4586"/>
      <c r="AQ69" s="4586"/>
      <c r="AR69" s="4586"/>
      <c r="AS69" s="4586"/>
      <c r="AT69" s="4586"/>
      <c r="AU69" s="4586"/>
      <c r="AV69" s="4586"/>
      <c r="AW69" s="4586"/>
      <c r="AX69" s="4586"/>
      <c r="AY69" s="4586"/>
      <c r="AZ69" s="4586"/>
      <c r="BA69" s="4586"/>
      <c r="BB69" s="4586"/>
      <c r="BC69" s="4586"/>
      <c r="BD69" s="4586"/>
      <c r="BE69" s="4586"/>
      <c r="BF69" s="4586"/>
      <c r="BG69" s="4586"/>
      <c r="BH69" s="4586"/>
      <c r="BI69" s="4586"/>
      <c r="BJ69" s="4586"/>
      <c r="BK69" s="4586"/>
      <c r="BL69" s="4586"/>
      <c r="BM69" s="4586"/>
      <c r="BN69" s="4586"/>
      <c r="BO69" s="4586"/>
      <c r="BP69" s="4586"/>
      <c r="BQ69" s="4586"/>
      <c r="BR69" s="4586"/>
      <c r="BS69" s="4586"/>
      <c r="BT69" s="4586"/>
      <c r="BU69" s="4586"/>
      <c r="BV69" s="4586"/>
      <c r="BW69" s="4586"/>
      <c r="BX69" s="4586"/>
      <c r="BY69" s="6549"/>
      <c r="BZ69" s="2350"/>
      <c r="CA69" s="2350"/>
      <c r="CG69" s="1220">
        <v>40</v>
      </c>
    </row>
    <row customHeight="1" ht="14.699999999999998">
      <c r="O70" s="602"/>
      <c r="AL70" s="3779"/>
      <c r="AM70" s="3779"/>
      <c r="AN70" s="3779"/>
      <c r="AO70" s="3779"/>
      <c r="AP70" s="3779"/>
      <c r="AQ70" s="3779"/>
      <c r="AR70" s="3779"/>
      <c r="AS70" s="3779"/>
      <c r="AT70" s="3779"/>
      <c r="AU70" s="3779"/>
      <c r="AV70" s="3779"/>
      <c r="AW70" s="3779"/>
      <c r="AX70" s="3779"/>
      <c r="AY70" s="3779"/>
      <c r="AZ70" s="3779"/>
      <c r="BA70" s="3779"/>
      <c r="BB70" s="3779"/>
      <c r="BC70" s="3779"/>
      <c r="BD70" s="3779"/>
      <c r="BE70" s="3779"/>
      <c r="BF70" s="3779"/>
      <c r="BG70" s="3779"/>
      <c r="BH70" s="3779"/>
      <c r="BI70" s="3779"/>
      <c r="BJ70" s="3779"/>
      <c r="BK70" s="3779"/>
      <c r="BL70" s="3779"/>
      <c r="BM70" s="3779"/>
      <c r="BN70" s="3779"/>
      <c r="BO70" s="3779"/>
      <c r="BP70" s="3779"/>
      <c r="BQ70" s="3779"/>
      <c r="BR70" s="3779"/>
      <c r="BS70" s="3779"/>
      <c r="BT70" s="3779"/>
      <c r="BU70" s="3779"/>
      <c r="BV70" s="3779"/>
      <c r="BW70" s="3779"/>
      <c r="BX70" s="3779"/>
      <c r="BY70" s="6520"/>
      <c r="CG70" s="1220">
        <v>14</v>
      </c>
    </row>
    <row customHeight="1" ht="21">
      <c r="O71" s="602"/>
      <c r="S71" s="1318"/>
      <c r="T71" s="2364"/>
      <c r="U71" s="2350"/>
      <c r="V71" s="2350"/>
      <c r="W71" s="2350"/>
      <c r="X71" s="2350"/>
      <c r="Y71" s="2350"/>
      <c r="Z71" s="2350"/>
      <c r="AA71" s="2350"/>
      <c r="AB71" s="2350"/>
      <c r="AC71" s="2350"/>
      <c r="AD71" s="2350"/>
      <c r="AE71" s="2350"/>
      <c r="AF71" s="2350"/>
      <c r="AG71" s="2350"/>
      <c r="AH71" s="2350"/>
      <c r="AI71" s="2350"/>
      <c r="AJ71" s="2350"/>
      <c r="AK71" s="2350"/>
      <c r="AL71" s="4586"/>
      <c r="AM71" s="4586"/>
      <c r="AN71" s="4586"/>
      <c r="AO71" s="4586"/>
      <c r="AP71" s="4586"/>
      <c r="AQ71" s="4586"/>
      <c r="AR71" s="4586"/>
      <c r="AS71" s="4586"/>
      <c r="AT71" s="4586"/>
      <c r="AU71" s="4586"/>
      <c r="AV71" s="4586"/>
      <c r="AW71" s="4586"/>
      <c r="AX71" s="4586"/>
      <c r="AY71" s="4586"/>
      <c r="AZ71" s="4586"/>
      <c r="BA71" s="4586"/>
      <c r="BB71" s="4586"/>
      <c r="BC71" s="4586"/>
      <c r="BD71" s="4586"/>
      <c r="BE71" s="4586"/>
      <c r="BF71" s="4586"/>
      <c r="BG71" s="4586"/>
      <c r="BH71" s="4586"/>
      <c r="BI71" s="4586"/>
      <c r="BJ71" s="4586"/>
      <c r="BK71" s="4586"/>
      <c r="BL71" s="4586"/>
      <c r="BM71" s="4586"/>
      <c r="BN71" s="4586"/>
      <c r="BO71" s="4586"/>
      <c r="BP71" s="4586"/>
      <c r="BQ71" s="4586"/>
      <c r="BR71" s="4586"/>
      <c r="BS71" s="4586"/>
      <c r="BT71" s="4586"/>
      <c r="BU71" s="4586"/>
      <c r="BV71" s="4586"/>
      <c r="BW71" s="4586"/>
      <c r="BX71" s="4586"/>
      <c r="BY71" s="6549"/>
      <c r="BZ71" s="2350"/>
      <c r="CA71" s="2350"/>
      <c r="CG71" s="1220">
        <v>20</v>
      </c>
    </row>
    <row customHeight="1" ht="29.25">
      <c r="O72" s="602"/>
      <c r="T72" s="2350"/>
      <c r="U72" s="2350"/>
      <c r="V72" s="2350"/>
      <c r="W72" s="2350"/>
      <c r="X72" s="2350"/>
      <c r="Y72" s="2350"/>
      <c r="Z72" s="2350"/>
      <c r="AA72" s="2350"/>
      <c r="AB72" s="2350"/>
      <c r="AC72" s="2350"/>
      <c r="AD72" s="2350"/>
      <c r="AE72" s="2350"/>
      <c r="AF72" s="2350"/>
      <c r="AG72" s="2350"/>
      <c r="AH72" s="2350"/>
      <c r="AI72" s="2350"/>
      <c r="AJ72" s="2350"/>
      <c r="AK72" s="2350"/>
      <c r="AL72" s="4586"/>
      <c r="AM72" s="4586"/>
      <c r="AN72" s="4586"/>
      <c r="AO72" s="4586"/>
      <c r="AP72" s="4586"/>
      <c r="AQ72" s="4586"/>
      <c r="AR72" s="4586"/>
      <c r="AS72" s="4586"/>
      <c r="AT72" s="4586"/>
      <c r="AU72" s="4586"/>
      <c r="AV72" s="4586"/>
      <c r="AW72" s="4586"/>
      <c r="AX72" s="4586"/>
      <c r="AY72" s="4586"/>
      <c r="AZ72" s="4586"/>
      <c r="BA72" s="4586"/>
      <c r="BB72" s="4586"/>
      <c r="BC72" s="4586"/>
      <c r="BD72" s="4586"/>
      <c r="BE72" s="4586"/>
      <c r="BF72" s="4586"/>
      <c r="BG72" s="4586"/>
      <c r="BH72" s="4586"/>
      <c r="BI72" s="4586"/>
      <c r="BJ72" s="4586"/>
      <c r="BK72" s="4586"/>
      <c r="BL72" s="4586"/>
      <c r="BM72" s="4586"/>
      <c r="BN72" s="4586"/>
      <c r="BO72" s="4586"/>
      <c r="BP72" s="4586"/>
      <c r="BQ72" s="4586"/>
      <c r="BR72" s="4586"/>
      <c r="BS72" s="4586"/>
      <c r="BT72" s="4586"/>
      <c r="BU72" s="4586"/>
      <c r="BV72" s="4586"/>
      <c r="BW72" s="4586"/>
      <c r="BX72" s="4586"/>
      <c r="BY72" s="6549"/>
      <c r="BZ72" s="2350"/>
      <c r="CA72" s="2350"/>
      <c r="CG72" s="1220">
        <v>28</v>
      </c>
    </row>
    <row customHeight="1" ht="35.699999999999996">
      <c r="T73" s="2350"/>
      <c r="U73" s="2350"/>
      <c r="V73" s="2350"/>
      <c r="W73" s="2350"/>
      <c r="X73" s="2350"/>
      <c r="Y73" s="2350"/>
      <c r="Z73" s="2350"/>
      <c r="AA73" s="2350"/>
      <c r="AB73" s="2350"/>
      <c r="AC73" s="2350"/>
      <c r="AD73" s="2350"/>
      <c r="AE73" s="2350"/>
      <c r="AF73" s="2350"/>
      <c r="AG73" s="2350"/>
      <c r="AH73" s="2350"/>
      <c r="AI73" s="2350"/>
      <c r="AJ73" s="2350"/>
      <c r="AK73" s="2350"/>
      <c r="AL73" s="4586"/>
      <c r="AM73" s="4586"/>
      <c r="AN73" s="4586"/>
      <c r="AO73" s="4586"/>
      <c r="AP73" s="4586"/>
      <c r="AQ73" s="4586"/>
      <c r="AR73" s="4586"/>
      <c r="AS73" s="4586"/>
      <c r="AT73" s="4586"/>
      <c r="AU73" s="4586"/>
      <c r="AV73" s="4586"/>
      <c r="AW73" s="4586"/>
      <c r="AX73" s="4586"/>
      <c r="AY73" s="4586"/>
      <c r="AZ73" s="4586"/>
      <c r="BA73" s="4586"/>
      <c r="BB73" s="4586"/>
      <c r="BC73" s="4586"/>
      <c r="BD73" s="4586"/>
      <c r="BE73" s="4586"/>
      <c r="BF73" s="4586"/>
      <c r="BG73" s="4586"/>
      <c r="BH73" s="4586"/>
      <c r="BI73" s="4586"/>
      <c r="BJ73" s="4586"/>
      <c r="BK73" s="4586"/>
      <c r="BL73" s="4586"/>
      <c r="BM73" s="4586"/>
      <c r="BN73" s="4586"/>
      <c r="BO73" s="4586"/>
      <c r="BP73" s="4586"/>
      <c r="BQ73" s="4586"/>
      <c r="BR73" s="4586"/>
      <c r="BS73" s="4586"/>
      <c r="BT73" s="4586"/>
      <c r="BU73" s="4586"/>
      <c r="BV73" s="4586"/>
      <c r="BW73" s="4586"/>
      <c r="BX73" s="4586"/>
      <c r="BY73" s="6549"/>
      <c r="BZ73" s="2350"/>
      <c r="CA73" s="2350"/>
      <c r="CG73" s="1220">
        <v>34</v>
      </c>
    </row>
    <row customHeight="1" ht="22.5" hidden="1">
      <c r="A74" s="1225" t="s">
        <v>85</v>
      </c>
      <c r="B74" s="1225">
        <v>0</v>
      </c>
      <c r="C74" s="1225">
        <v>0</v>
      </c>
      <c r="D74" s="1225">
        <v>0</v>
      </c>
      <c r="E74" s="1225">
        <v>0</v>
      </c>
      <c r="F74" s="1225">
        <v>0</v>
      </c>
      <c r="G74" s="1225">
        <v>0</v>
      </c>
      <c r="H74" s="1225">
        <v>0</v>
      </c>
      <c r="I74" s="1225">
        <v>0</v>
      </c>
      <c r="J74" s="1225">
        <v>0</v>
      </c>
      <c r="K74" s="1225">
        <v>0</v>
      </c>
      <c r="L74" s="1394">
        <v>0</v>
      </c>
      <c r="M74" s="1427">
        <v>0</v>
      </c>
      <c r="N74" s="1427">
        <v>0</v>
      </c>
      <c r="O74" s="1427">
        <v>0</v>
      </c>
      <c r="P74" s="1393">
        <v>0</v>
      </c>
      <c r="Q74" s="409">
        <v>3</v>
      </c>
      <c r="R74" s="409">
        <v>3</v>
      </c>
      <c r="S74" s="646">
        <v>12</v>
      </c>
      <c r="T74" s="1220">
        <v>31</v>
      </c>
      <c r="U74" s="1220">
        <v>0</v>
      </c>
      <c r="V74" s="1220">
        <v>0</v>
      </c>
      <c r="W74" s="1220">
        <v>0</v>
      </c>
      <c r="X74" s="1220">
        <v>0</v>
      </c>
      <c r="Y74" s="1220">
        <v>0</v>
      </c>
      <c r="Z74" s="1220">
        <v>0</v>
      </c>
      <c r="AA74" s="1220">
        <v>0</v>
      </c>
      <c r="AB74" s="1220">
        <v>0</v>
      </c>
      <c r="AC74" s="1220">
        <v>0</v>
      </c>
      <c r="AD74" s="1220">
        <v>24</v>
      </c>
      <c r="AE74" s="1220">
        <v>0</v>
      </c>
      <c r="AF74" s="1220">
        <v>24</v>
      </c>
      <c r="AG74" s="1220">
        <v>24</v>
      </c>
      <c r="AH74" s="1220">
        <v>11</v>
      </c>
      <c r="AI74" s="1220">
        <v>3</v>
      </c>
      <c r="AJ74" s="1220">
        <v>11</v>
      </c>
      <c r="AK74" s="1220">
        <v>0</v>
      </c>
      <c r="AL74" s="3779">
        <v>0</v>
      </c>
      <c r="AM74" s="3779">
        <v>0</v>
      </c>
      <c r="AN74" s="3779">
        <v>0</v>
      </c>
      <c r="AO74" s="3779">
        <v>0</v>
      </c>
      <c r="AP74" s="3779">
        <v>0</v>
      </c>
      <c r="AQ74" s="3779">
        <v>0</v>
      </c>
      <c r="AR74" s="3779">
        <v>0</v>
      </c>
      <c r="AS74" s="3779">
        <v>0</v>
      </c>
      <c r="AT74" s="3779">
        <v>0</v>
      </c>
      <c r="AU74" s="3779">
        <v>0</v>
      </c>
      <c r="AV74" s="3779">
        <v>0</v>
      </c>
      <c r="AW74" s="3779">
        <v>0</v>
      </c>
      <c r="AX74" s="3779">
        <v>0</v>
      </c>
      <c r="AY74" s="3779">
        <v>0</v>
      </c>
      <c r="AZ74" s="3779">
        <v>0</v>
      </c>
      <c r="BA74" s="3779">
        <v>0</v>
      </c>
      <c r="BB74" s="3779">
        <v>0</v>
      </c>
      <c r="BC74" s="3779">
        <v>0</v>
      </c>
      <c r="BD74" s="3779">
        <v>0</v>
      </c>
      <c r="BE74" s="3779">
        <v>0</v>
      </c>
      <c r="BF74" s="3779">
        <v>0</v>
      </c>
      <c r="BG74" s="3779">
        <v>0</v>
      </c>
      <c r="BH74" s="3779">
        <v>0</v>
      </c>
      <c r="BI74" s="3779">
        <v>0</v>
      </c>
      <c r="BJ74" s="3779">
        <v>0</v>
      </c>
      <c r="BK74" s="3779">
        <v>0</v>
      </c>
      <c r="BL74" s="3779">
        <v>0</v>
      </c>
      <c r="BM74" s="3779">
        <v>0</v>
      </c>
      <c r="BN74" s="3779">
        <v>0</v>
      </c>
      <c r="BO74" s="3779">
        <v>0</v>
      </c>
      <c r="BP74" s="3779">
        <v>0</v>
      </c>
      <c r="BQ74" s="3779">
        <v>0</v>
      </c>
      <c r="BR74" s="3779">
        <v>0</v>
      </c>
      <c r="BS74" s="3779">
        <v>0</v>
      </c>
      <c r="BT74" s="3779">
        <v>0</v>
      </c>
      <c r="BU74" s="3779">
        <v>0</v>
      </c>
      <c r="BV74" s="3779">
        <v>0</v>
      </c>
      <c r="BW74" s="3779">
        <v>0</v>
      </c>
      <c r="BX74" s="3779">
        <v>0</v>
      </c>
      <c r="BY74" s="6520">
        <v>0</v>
      </c>
      <c r="BZ74" s="1220">
        <v>4</v>
      </c>
      <c r="CA74" s="1220">
        <v>115</v>
      </c>
      <c r="CB74" s="576">
        <v>10</v>
      </c>
      <c r="CC74" s="576">
        <v>10</v>
      </c>
      <c r="CD74" s="576">
        <v>10</v>
      </c>
      <c r="CE74" s="576">
        <v>10</v>
      </c>
      <c r="CF74" s="576">
        <v>10</v>
      </c>
      <c r="CG74" s="1220">
        <v>23</v>
      </c>
    </row>
  </sheetData>
  <sheetProtection formatColumns="0" formatRows="0" autoFilter="0" sort="0" insertRows="0" insertColumns="1" deleteRows="0" deleteColumns="0"/>
  <mergeCells count="296">
    <mergeCell ref="T72:CA72"/>
    <mergeCell ref="T73:CA73"/>
    <mergeCell ref="S35:T35"/>
    <mergeCell ref="V35:AB35"/>
    <mergeCell ref="AD35:AJ35"/>
    <mergeCell ref="S34:T34"/>
    <mergeCell ref="V34:AB34"/>
    <mergeCell ref="AD34:AJ34"/>
    <mergeCell ref="V2:AC2"/>
    <mergeCell ref="AD2:BZ2"/>
    <mergeCell ref="V3:AC3"/>
    <mergeCell ref="AD3:BZ3"/>
    <mergeCell ref="V4:AC4"/>
    <mergeCell ref="AD4:BZ4"/>
    <mergeCell ref="V5:AC5"/>
    <mergeCell ref="AD5:BZ5"/>
    <mergeCell ref="V6:AC6"/>
    <mergeCell ref="AD6:BZ6"/>
    <mergeCell ref="V7:AC7"/>
    <mergeCell ref="AD7:BZ7"/>
    <mergeCell ref="T71:CA71"/>
    <mergeCell ref="T69:CA69"/>
    <mergeCell ref="AJ49:AJ50"/>
    <mergeCell ref="AK49:AK50"/>
    <mergeCell ref="CA49:CA51"/>
    <mergeCell ref="T67:CA67"/>
    <mergeCell ref="T68:CA68"/>
    <mergeCell ref="AA42:AB42"/>
    <mergeCell ref="AI42:AJ42"/>
    <mergeCell ref="E43:E64"/>
    <mergeCell ref="V43:AC43"/>
    <mergeCell ref="AD43:BZ43"/>
    <mergeCell ref="F44:F63"/>
    <mergeCell ref="V44:AC44"/>
    <mergeCell ref="AD44:BZ44"/>
    <mergeCell ref="G45:G62"/>
    <mergeCell ref="V45:AC45"/>
    <mergeCell ref="AD45:BZ45"/>
    <mergeCell ref="H46:H61"/>
    <mergeCell ref="V46:AC46"/>
    <mergeCell ref="AD46:BZ46"/>
    <mergeCell ref="P47:P60"/>
    <mergeCell ref="J48:J51"/>
    <mergeCell ref="Q48:Q51"/>
    <mergeCell ref="V48:AC48"/>
    <mergeCell ref="AD48:BZ48"/>
    <mergeCell ref="K49:K50"/>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CA8:CA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Z38"/>
    <mergeCell ref="S26:AJ26"/>
    <mergeCell ref="S27:AJ27"/>
    <mergeCell ref="AH49:AH50"/>
    <mergeCell ref="AI49:AI50"/>
    <mergeCell ref="V47:AC47"/>
    <mergeCell ref="AD47:BZ47"/>
    <mergeCell ref="AD31:AJ31"/>
    <mergeCell ref="AD32:AJ32"/>
    <mergeCell ref="AE40:AE41"/>
    <mergeCell ref="AF40:AG40"/>
    <mergeCell ref="AH40:AJ40"/>
    <mergeCell ref="AI41:AJ41"/>
    <mergeCell ref="AD37:AK37"/>
    <mergeCell ref="V52:AC52"/>
    <mergeCell ref="AD52:BZ52"/>
    <mergeCell ref="CA53:CA55"/>
    <mergeCell ref="AH53:AH54"/>
    <mergeCell ref="AI53:AI54"/>
    <mergeCell ref="AJ53:AJ54"/>
    <mergeCell ref="AK53:AK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V56:AC56"/>
    <mergeCell ref="AD56:BZ56"/>
    <mergeCell ref="CA57:CA59"/>
    <mergeCell ref="Z57:Z58"/>
    <mergeCell ref="AA57:AA58"/>
    <mergeCell ref="AH57:AH58"/>
    <mergeCell ref="AI57:AI58"/>
    <mergeCell ref="AJ57:AJ58"/>
    <mergeCell ref="AK57:AK58"/>
    <mergeCell ref="AB57:AB58"/>
    <mergeCell ref="AC57:AC58"/>
    <mergeCell ref="J56:J59"/>
    <mergeCell ref="Q56:Q59"/>
    <mergeCell ref="K57:K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57:BV58"/>
    <mergeCell ref="BW57:BW58"/>
    <mergeCell ref="BX57:BX58"/>
    <mergeCell ref="BY57:BY58"/>
    <mergeCell ref="BV49:BV50"/>
    <mergeCell ref="BW49:BW50"/>
    <mergeCell ref="BX49:BX50"/>
    <mergeCell ref="BY49:BY50"/>
    <mergeCell ref="Z49:Z50"/>
    <mergeCell ref="AA49:AA50"/>
    <mergeCell ref="AB49:AB50"/>
    <mergeCell ref="AC49:AC50"/>
    <mergeCell ref="BV53:BV54"/>
    <mergeCell ref="BW53:BW54"/>
    <mergeCell ref="BX53:BX54"/>
    <mergeCell ref="BY53:BY54"/>
    <mergeCell ref="Z53:Z54"/>
    <mergeCell ref="AA53:AA54"/>
    <mergeCell ref="AB53:AB54"/>
    <mergeCell ref="AC53:AC54"/>
  </mergeCells>
  <dataValidations count="8">
    <dataValidation allowBlank="1" sqref="S131131:CA131137 S196667:CA196673 S262203:CA262209 S327739:CA327745 S393275:CA393281 S458811:CA458817 S524347:CA524353 S589883:CA589889 S655419:CA655425 S720955:CA720961 S786491:CA786497 S852027:CA852033 S917563:CA917569 S983099:CA983105 S65595:CA65601"/>
    <dataValidation type="list" allowBlank="1" showInputMessage="1" errorTitle="Ошибка" error="Выберите значение из списка" prompt="Выберите значение из списка" sqref="V983096:BZ983096 V65592:BZ65592 V131128:BZ131128 V196664:BZ196664 V262200:BZ262200 V327736:BZ327736 V393272:BZ393272 V458808:BZ458808 V524344:BZ524344 V589880:BZ589880 V655416:BZ655416 V720952:BZ720952 V786488:BZ786488 V852024:BZ852024 V917560:BZ917560">
      <formula1>kind_of_cons</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CA65587:CA65594 CA131123:CA131130 CA196659:CA196666 CA262195:CA262202 CA327731:CA327738 CA393267:CA393274 CA458803:CA458810 CA524339:CA524346 CA589875:CA589882 CA655411:CA655418 CA720947:CA720954 CA786483:CA786490 CA852019:CA852026 CA917555:CA917562 CA983091:CA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AP8 AR8 AP49 AR49 AP53 AR53 AX8 AZ8 AX49 AZ49 AX53 AZ53 BF8 BH8 BF49 BH49 BF53 BH53 BN8 BP8 BN49 BP49 BN53 BP53 Z57 AB57 AH57 AJ57 AP57 AR57 AX57 AZ57 BF57 BH57 BN57 BP57 BV8 BX8 BV49 BX49 BV53 BX53 BV57 BX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BY393273 AK49 AQ49 AS49 AY49 BA49 BG49 BI49 BO49 BQ49 BW49 BY49 AK524345:BY524345 AK8 AQ8 AS8 AY8 BA8 BG8 BI8 BO8 BQ8 BW8 BY8 AK589881:BY589881 AK655417:BY655417 AK17 AK720953:BY720953 AK786489:BY786489 AK852025:BY852025 AK917561:BY917561 AK983097:BY983097 AK65593:BY65593 AK131129:BY131129 AK458809:BY458809 AI49 AK196665:BY196665 AI8 AC8 AA8 AI17 AK262201:BY262201 AA49 AC49 AK327737:BY327737 AA53 AC53 AI53 AK53 AQ53 AS53 AY53 BA53 BG53 BI53 BO53 BQ53 BW53 BY53 AA57 AC57 AI57 AK57 AQ57 AS57 AY57 BA57 BG57 BI57 BO57 BQ57 BW57 BY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AO9 AO50 AO54 AW9 AW50 AW54 BE9 BE50 BE54 BM9 BM50 BM54 Y58 AG58 AO58 AW58 BE58 BM58 BU9 BU50 BU54 BU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4D53E-9605-A566-8C6A-0.6B6EE1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7109375" hidden="1"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408</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409</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410</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411</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412</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415</v>
      </c>
      <c r="M7" s="602"/>
      <c r="N7" s="1431"/>
      <c r="P7" s="2322"/>
      <c r="Q7" s="2322">
        <v>1</v>
      </c>
      <c r="R7" s="1707"/>
      <c r="S7" s="2072">
        <f>$J7</f>
      </c>
      <c r="T7" s="351" t="s">
        <v>416</v>
      </c>
      <c r="U7" s="365"/>
      <c r="V7" s="2370"/>
      <c r="W7" s="2370"/>
      <c r="X7" s="2370"/>
      <c r="Y7" s="2370"/>
      <c r="Z7" s="2370"/>
      <c r="AA7" s="2370"/>
      <c r="AB7" s="2370"/>
      <c r="AC7" s="2370"/>
      <c r="AD7" s="2370"/>
      <c r="AE7" s="2370"/>
      <c r="AF7" s="2370"/>
      <c r="AG7" s="2370"/>
      <c r="AH7" s="2370"/>
      <c r="AI7" s="2370"/>
      <c r="AJ7" s="2370"/>
      <c r="AK7" s="2370"/>
      <c r="AL7" s="2370"/>
      <c r="AM7" s="2075" t="s">
        <v>417</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418</v>
      </c>
      <c r="M8" s="602"/>
      <c r="N8" s="1431"/>
      <c r="O8" s="1431"/>
      <c r="P8" s="2322"/>
      <c r="Q8" s="2322"/>
      <c r="R8" s="422">
        <v>1</v>
      </c>
      <c r="S8" s="2074">
        <f>$K8</f>
      </c>
      <c r="T8" s="2079"/>
      <c r="U8" s="2080"/>
      <c r="V8" s="2081"/>
      <c r="W8" s="1414"/>
      <c r="X8" s="2081"/>
      <c r="Y8" s="2082"/>
      <c r="Z8" s="2371"/>
      <c r="AA8" s="2177" t="s">
        <v>64</v>
      </c>
      <c r="AB8" s="2371"/>
      <c r="AC8" s="2177" t="s">
        <v>64</v>
      </c>
      <c r="AD8" s="2081"/>
      <c r="AE8" s="1414"/>
      <c r="AF8" s="2081"/>
      <c r="AG8" s="2082"/>
      <c r="AH8" s="2371"/>
      <c r="AI8" s="2177" t="s">
        <v>64</v>
      </c>
      <c r="AJ8" s="2371"/>
      <c r="AK8" s="2177" t="s">
        <v>64</v>
      </c>
      <c r="AL8" s="1414"/>
      <c r="AM8" s="2318" t="s">
        <v>419</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420</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421</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5305"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5305"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5305"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745" customFormat="1" customHeight="1" ht="22.5" hidden="1">
      <c r="L20" s="1394"/>
      <c r="M20" s="1427"/>
      <c r="N20" s="1427"/>
      <c r="O20" s="1432" t="s">
        <v>423</v>
      </c>
      <c r="P20" s="1427"/>
      <c r="Q20" s="1436"/>
      <c r="R20" s="1436"/>
      <c r="S20" s="794"/>
      <c r="Z20" s="1432"/>
      <c r="AB20" s="1432"/>
      <c r="AC20" s="1431"/>
      <c r="AH20" s="1432"/>
      <c r="AJ20" s="1432"/>
      <c r="AK20" s="1431"/>
      <c r="AN20" s="576"/>
      <c r="AO20" s="576"/>
      <c r="AP20" s="576"/>
      <c r="AQ20" s="576"/>
      <c r="AR20" s="576"/>
      <c r="AS20" s="1225">
        <v>0</v>
      </c>
    </row>
    <row s="5745" customFormat="1" customHeight="1" ht="14.25" hidden="1">
      <c r="L21" s="1394"/>
      <c r="M21" s="1427"/>
      <c r="N21" s="1427"/>
      <c r="O21" s="1427"/>
      <c r="P21" s="1427"/>
      <c r="Q21" s="1436"/>
      <c r="R21" s="1436"/>
      <c r="S21" s="794"/>
      <c r="AC21" s="1431"/>
      <c r="AK21" s="1431"/>
      <c r="AN21" s="576"/>
      <c r="AO21" s="576"/>
      <c r="AP21" s="576"/>
      <c r="AQ21" s="576"/>
      <c r="AR21" s="576"/>
      <c r="AS21" s="1225">
        <v>0</v>
      </c>
    </row>
    <row s="5745" customFormat="1" customHeight="1" ht="14.25" hidden="1">
      <c r="L22" s="1394"/>
      <c r="M22" s="1427"/>
      <c r="N22" s="1427"/>
      <c r="O22" s="1429" t="s">
        <v>424</v>
      </c>
      <c r="P22" s="1427"/>
      <c r="Q22" s="1436"/>
      <c r="R22" s="1436"/>
      <c r="S22" s="794"/>
      <c r="T22" s="1225" t="s">
        <v>425</v>
      </c>
      <c r="AA22" s="251" t="s">
        <v>426</v>
      </c>
      <c r="AC22" s="251" t="s">
        <v>427</v>
      </c>
      <c r="AD22" s="1225" t="s">
        <v>425</v>
      </c>
      <c r="AI22" s="251" t="s">
        <v>428</v>
      </c>
      <c r="AK22" s="251" t="s">
        <v>427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1"/>
      <c r="AM29" s="345"/>
      <c r="AN29" s="433"/>
      <c r="AO29" s="433"/>
      <c r="AP29" s="433"/>
      <c r="AQ29" s="433"/>
      <c r="AR29" s="433"/>
      <c r="AS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1"/>
      <c r="AM30" s="345"/>
      <c r="AN30" s="433"/>
      <c r="AO30" s="433"/>
      <c r="AP30" s="433"/>
      <c r="AQ30" s="433"/>
      <c r="AR30" s="433"/>
      <c r="AS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1"/>
      <c r="AM31" s="345"/>
      <c r="AN31" s="433"/>
      <c r="AO31" s="433"/>
      <c r="AP31" s="433"/>
      <c r="AQ31" s="433"/>
      <c r="AR31" s="433"/>
      <c r="AS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1"/>
      <c r="AM34" s="345"/>
      <c r="AN34" s="433"/>
      <c r="AO34" s="433"/>
      <c r="AP34" s="433"/>
      <c r="AQ34" s="433"/>
      <c r="AR34" s="433"/>
      <c r="AS34" s="483">
        <v>0</v>
      </c>
    </row>
    <row s="6339" customFormat="1" customHeight="1" ht="18.7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1"/>
      <c r="AM35" s="345"/>
      <c r="AN35" s="433"/>
      <c r="AO35" s="433"/>
      <c r="AP35" s="433"/>
      <c r="AQ35" s="433"/>
      <c r="AR35" s="433"/>
      <c r="AS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433</v>
      </c>
      <c r="AD36" s="391"/>
      <c r="AE36" s="391"/>
      <c r="AF36" s="391"/>
      <c r="AG36" s="391"/>
      <c r="AH36" s="391"/>
      <c r="AI36" s="391"/>
      <c r="AJ36" s="391"/>
      <c r="AK36" s="343" t="s">
        <v>433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220">
        <v>14</v>
      </c>
    </row>
    <row customHeight="1" ht="14.699999999999998">
      <c r="Q39" s="441"/>
      <c r="R39" s="441"/>
      <c r="S39" s="2338" t="s">
        <v>91</v>
      </c>
      <c r="T39" s="2274" t="s">
        <v>434</v>
      </c>
      <c r="U39" s="366"/>
      <c r="V39" s="2339" t="s">
        <v>435</v>
      </c>
      <c r="W39" s="2340"/>
      <c r="X39" s="2340"/>
      <c r="Y39" s="2340"/>
      <c r="Z39" s="2340"/>
      <c r="AA39" s="2340"/>
      <c r="AB39" s="2341"/>
      <c r="AC39" s="2342" t="s">
        <v>436</v>
      </c>
      <c r="AD39" s="2339" t="s">
        <v>435</v>
      </c>
      <c r="AE39" s="2340"/>
      <c r="AF39" s="2340"/>
      <c r="AG39" s="2340"/>
      <c r="AH39" s="2340"/>
      <c r="AI39" s="2340"/>
      <c r="AJ39" s="2341"/>
      <c r="AK39" s="2342" t="s">
        <v>437</v>
      </c>
      <c r="AL39" s="2345" t="s">
        <v>438</v>
      </c>
      <c r="AM39" s="2192"/>
      <c r="AS39" s="1220">
        <v>14</v>
      </c>
    </row>
    <row customHeight="1" ht="35.699999999999996">
      <c r="Q40" s="441"/>
      <c r="R40" s="441"/>
      <c r="S40" s="2338"/>
      <c r="T40" s="2274"/>
      <c r="U40" s="1096"/>
      <c r="V40" s="2325" t="s">
        <v>439</v>
      </c>
      <c r="W40" s="2348"/>
      <c r="X40" s="2327" t="s">
        <v>441</v>
      </c>
      <c r="Y40" s="2328"/>
      <c r="Z40" s="2327" t="s">
        <v>442</v>
      </c>
      <c r="AA40" s="2334"/>
      <c r="AB40" s="2328"/>
      <c r="AC40" s="2343"/>
      <c r="AD40" s="2325" t="s">
        <v>460</v>
      </c>
      <c r="AE40" s="2348"/>
      <c r="AF40" s="2327" t="s">
        <v>441</v>
      </c>
      <c r="AG40" s="2328"/>
      <c r="AH40" s="2327" t="s">
        <v>442</v>
      </c>
      <c r="AI40" s="2334"/>
      <c r="AJ40" s="2328"/>
      <c r="AK40" s="2343"/>
      <c r="AL40" s="2346"/>
      <c r="AM40" s="2192"/>
      <c r="AS40" s="1220">
        <v>34</v>
      </c>
    </row>
    <row customHeight="1" ht="35.699999999999996">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Q41" s="441"/>
      <c r="R41" s="441"/>
      <c r="S41" s="2338"/>
      <c r="T41" s="2274"/>
      <c r="U41" s="367"/>
      <c r="V41" s="2326"/>
      <c r="W41" s="2349"/>
      <c r="X41" s="1287" t="s">
        <v>450</v>
      </c>
      <c r="Y41" s="1287" t="s">
        <v>451</v>
      </c>
      <c r="Z41" s="1403" t="s">
        <v>452</v>
      </c>
      <c r="AA41" s="2335" t="s">
        <v>453</v>
      </c>
      <c r="AB41" s="2336"/>
      <c r="AC41" s="2344"/>
      <c r="AD41" s="2326"/>
      <c r="AE41" s="2349"/>
      <c r="AF41" s="1287" t="s">
        <v>450</v>
      </c>
      <c r="AG41" s="1287" t="s">
        <v>451</v>
      </c>
      <c r="AH41" s="1403" t="s">
        <v>452</v>
      </c>
      <c r="AI41" s="2335" t="s">
        <v>453</v>
      </c>
      <c r="AJ41" s="2336"/>
      <c r="AK41" s="2344"/>
      <c r="AL41" s="2347"/>
      <c r="AM41" s="2192"/>
      <c r="AS41" s="1220">
        <v>34</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565"/>
      <c r="AP46" s="565" t="str">
        <f>IF(T46="","",T46)</f>
        <v>Источник тепловой энергии  </v>
      </c>
      <c r="AQ46" s="565"/>
      <c r="AR46" s="565"/>
      <c r="AS46" s="1220">
        <v>21</v>
      </c>
    </row>
    <row s="5305" customFormat="1" customHeight="1" ht="0">
      <c r="A47" s="1408" t="s">
        <v>191</v>
      </c>
      <c r="B47" s="1408" t="s">
        <v>192</v>
      </c>
      <c r="C47" s="1408" t="s">
        <v>193</v>
      </c>
      <c r="D47" s="1408" t="s">
        <v>194</v>
      </c>
      <c r="E47" s="2324"/>
      <c r="F47" s="2324"/>
      <c r="G47" s="2324"/>
      <c r="H47" s="2324"/>
      <c r="I47" s="2321" t="str">
        <f>S46&amp;".1"</f>
        <v>....1</v>
      </c>
      <c r="J47" s="1408"/>
      <c r="K47" s="1408"/>
      <c r="L47" s="1411" t="s">
        <v>412</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191</v>
      </c>
      <c r="B48" s="1428" t="s">
        <v>192</v>
      </c>
      <c r="C48" s="1428" t="s">
        <v>193</v>
      </c>
      <c r="D48" s="1428" t="s">
        <v>194</v>
      </c>
      <c r="E48" s="2324"/>
      <c r="F48" s="2324"/>
      <c r="G48" s="2324"/>
      <c r="H48" s="2324"/>
      <c r="I48" s="2351"/>
      <c r="J48" s="2321" t="str">
        <f>S46&amp;".1"</f>
        <v>....1</v>
      </c>
      <c r="K48" s="1428"/>
      <c r="L48" s="1429" t="s">
        <v>415</v>
      </c>
      <c r="P48" s="2322"/>
      <c r="Q48" s="2322">
        <v>1</v>
      </c>
      <c r="R48" s="422"/>
      <c r="S48" s="1401" t="str">
        <f>$J48</f>
        <v>....1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v>
      </c>
      <c r="L49" s="1429" t="s">
        <v>418</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461</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2" t="s">
        <v>420</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430" t="s">
        <v>421</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5305"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5305"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5305"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5305"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19DB-3359-D046-D037-0.071311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6479" width="3.7109375" hidden="1" customWidth="1"/>
    <col min="17" max="18" style="5766" width="3.00390625" customWidth="1"/>
    <col min="19" max="19" style="6453" width="12.00390625" customWidth="1"/>
    <col min="20" max="20" style="5796" width="31.00390625" customWidth="1"/>
    <col min="21" max="21" style="5796" width="0.140625" customWidth="1"/>
    <col min="22" max="22" style="5796" width="24.7109375" hidden="1" customWidth="1"/>
    <col min="23" max="23" style="5796" width="0.140625" hidden="1" customWidth="1"/>
    <col min="24" max="25" style="5796" width="24.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24.7109375" customWidth="1"/>
    <col min="31" max="31" style="5796" width="0.140625" customWidth="1"/>
    <col min="32" max="33" style="5796" width="24.00390625" customWidth="1"/>
    <col min="34" max="34" style="5796" width="11.00390625" customWidth="1"/>
    <col min="35" max="35" style="5796" width="3.7109375" customWidth="1"/>
    <col min="36" max="36" style="5796" width="11.00390625" customWidth="1"/>
    <col min="37" max="37" style="5796" width="8.57421875" hidden="1" customWidth="1"/>
    <col min="38" max="38" style="5796" width="4.00390625" customWidth="1"/>
    <col min="39" max="39" style="5796" width="115.00390625" customWidth="1"/>
    <col min="40" max="44" style="5305" width="10.00390625" customWidth="1"/>
    <col min="45" max="45" style="5796"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405</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406</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407</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408</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409</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410</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411</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412</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415</v>
      </c>
      <c r="M7" s="602"/>
      <c r="N7" s="1431"/>
      <c r="P7" s="2322"/>
      <c r="Q7" s="2322">
        <v>1</v>
      </c>
      <c r="R7" s="422"/>
      <c r="S7" s="1401">
        <f>$J7</f>
      </c>
      <c r="T7" s="351" t="s">
        <v>416</v>
      </c>
      <c r="U7" s="365"/>
      <c r="V7" s="2310"/>
      <c r="W7" s="2311"/>
      <c r="X7" s="2311"/>
      <c r="Y7" s="2311"/>
      <c r="Z7" s="2311"/>
      <c r="AA7" s="2311"/>
      <c r="AB7" s="2311"/>
      <c r="AC7" s="2312"/>
      <c r="AD7" s="2310"/>
      <c r="AE7" s="2311"/>
      <c r="AF7" s="2311"/>
      <c r="AG7" s="2311"/>
      <c r="AH7" s="2311"/>
      <c r="AI7" s="2311"/>
      <c r="AJ7" s="2311"/>
      <c r="AK7" s="2311"/>
      <c r="AL7" s="2312"/>
      <c r="AM7" s="1323" t="s">
        <v>417</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418</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419</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420</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421</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5305"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170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5305"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171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5305"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172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745" customFormat="1" customHeight="1" ht="22.5" hidden="1">
      <c r="L20" s="1394"/>
      <c r="M20" s="1427"/>
      <c r="N20" s="1427"/>
      <c r="O20" s="1432" t="s">
        <v>423</v>
      </c>
      <c r="P20" s="1427"/>
      <c r="Q20" s="1436"/>
      <c r="R20" s="1436"/>
      <c r="S20" s="794"/>
      <c r="Z20" s="1432"/>
      <c r="AB20" s="1432"/>
      <c r="AC20" s="1431"/>
      <c r="AH20" s="1432"/>
      <c r="AJ20" s="1432"/>
      <c r="AK20" s="1431"/>
      <c r="AN20" s="576"/>
      <c r="AO20" s="576"/>
      <c r="AP20" s="576"/>
      <c r="AQ20" s="576"/>
      <c r="AR20" s="576"/>
      <c r="AS20" s="1225">
        <v>0</v>
      </c>
    </row>
    <row s="5745" customFormat="1" customHeight="1" ht="14.25" hidden="1">
      <c r="L21" s="1394"/>
      <c r="M21" s="1427"/>
      <c r="N21" s="1427"/>
      <c r="O21" s="1427"/>
      <c r="P21" s="1427"/>
      <c r="Q21" s="1436"/>
      <c r="R21" s="1436"/>
      <c r="S21" s="794"/>
      <c r="AC21" s="1431"/>
      <c r="AK21" s="1431"/>
      <c r="AN21" s="576"/>
      <c r="AO21" s="576"/>
      <c r="AP21" s="576"/>
      <c r="AQ21" s="576"/>
      <c r="AR21" s="576"/>
      <c r="AS21" s="1225">
        <v>0</v>
      </c>
    </row>
    <row s="5745" customFormat="1" customHeight="1" ht="14.25" hidden="1">
      <c r="L22" s="1394"/>
      <c r="M22" s="1427"/>
      <c r="N22" s="1427"/>
      <c r="O22" s="1429" t="s">
        <v>424</v>
      </c>
      <c r="P22" s="1427"/>
      <c r="Q22" s="1436"/>
      <c r="R22" s="1436"/>
      <c r="S22" s="794"/>
      <c r="T22" s="1225" t="s">
        <v>425</v>
      </c>
      <c r="AA22" s="251" t="s">
        <v>426</v>
      </c>
      <c r="AC22" s="251" t="s">
        <v>427</v>
      </c>
      <c r="AD22" s="1225" t="s">
        <v>425</v>
      </c>
      <c r="AI22" s="251" t="s">
        <v>428</v>
      </c>
      <c r="AK22" s="251" t="s">
        <v>427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Нарьян-Марское МУ ПОКиТС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6339"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УГРЦТ НАО</v>
      </c>
      <c r="W29" s="2316"/>
      <c r="X29" s="2316"/>
      <c r="Y29" s="2316"/>
      <c r="Z29" s="2316"/>
      <c r="AA29" s="2316"/>
      <c r="AB29" s="2316"/>
      <c r="AC29" s="391"/>
      <c r="AD29" s="2316" t="str">
        <f>IF(TITLE_NAME_OR_PR_CHANGE="",IF(TITLE_NAME_OR_PR="","",TITLE_NAME_OR_PR),TITLE_NAME_OR_PR_CHANGE)</f>
        <v>УГРЦТ НАО</v>
      </c>
      <c r="AE29" s="2316"/>
      <c r="AF29" s="2316"/>
      <c r="AG29" s="2316"/>
      <c r="AH29" s="2316"/>
      <c r="AI29" s="2316"/>
      <c r="AJ29" s="2316"/>
      <c r="AK29" s="391"/>
      <c r="AL29" s="391"/>
      <c r="AM29" s="345"/>
      <c r="AN29" s="433"/>
      <c r="AO29" s="433"/>
      <c r="AP29" s="433"/>
      <c r="AQ29" s="433"/>
      <c r="AR29" s="433"/>
      <c r="AS29" s="483">
        <v>0</v>
      </c>
    </row>
    <row s="6339" customFormat="1" customHeight="1" ht="18.75">
      <c r="A30" s="1433"/>
      <c r="B30" s="1433"/>
      <c r="C30" s="1433"/>
      <c r="D30" s="1433"/>
      <c r="E30" s="1433"/>
      <c r="F30" s="1433"/>
      <c r="G30" s="1433"/>
      <c r="H30" s="1433"/>
      <c r="I30" s="1433"/>
      <c r="J30" s="1433"/>
      <c r="K30" s="1433"/>
      <c r="L30" s="1434"/>
      <c r="M30" s="1433"/>
      <c r="N30" s="1433"/>
      <c r="O30" s="1433"/>
      <c r="S30" s="2315" t="s">
        <v>429</v>
      </c>
      <c r="T30" s="2315"/>
      <c r="U30" s="1437"/>
      <c r="V30" s="2329" t="str">
        <f>IF(TITLE_DATE_PR_CHANGE="",IF(TITLE_DATE_PR="","",TITLE_DATE_PR),TITLE_DATE_PR_CHANGE)</f>
        <v>46008.55446759259</v>
      </c>
      <c r="W30" s="2329"/>
      <c r="X30" s="2329"/>
      <c r="Y30" s="2329"/>
      <c r="Z30" s="2329"/>
      <c r="AA30" s="2329"/>
      <c r="AB30" s="2329"/>
      <c r="AC30" s="391"/>
      <c r="AD30" s="2329" t="str">
        <f>IF(TITLE_DATE_PR_CHANGE="",IF(TITLE_DATE_PR="","",TITLE_DATE_PR),TITLE_DATE_PR_CHANGE)</f>
        <v>46008.55446759259</v>
      </c>
      <c r="AE30" s="2329"/>
      <c r="AF30" s="2329"/>
      <c r="AG30" s="2329"/>
      <c r="AH30" s="2329"/>
      <c r="AI30" s="2329"/>
      <c r="AJ30" s="2329"/>
      <c r="AK30" s="391"/>
      <c r="AL30" s="391"/>
      <c r="AM30" s="345"/>
      <c r="AN30" s="433"/>
      <c r="AO30" s="433"/>
      <c r="AP30" s="433"/>
      <c r="AQ30" s="433"/>
      <c r="AR30" s="433"/>
      <c r="AS30" s="483">
        <v>0</v>
      </c>
    </row>
    <row s="6339" customFormat="1" customHeight="1" ht="18.75">
      <c r="A31" s="1433"/>
      <c r="B31" s="1433"/>
      <c r="C31" s="1433"/>
      <c r="D31" s="1433"/>
      <c r="E31" s="1433"/>
      <c r="F31" s="1433"/>
      <c r="G31" s="1433"/>
      <c r="H31" s="1433"/>
      <c r="I31" s="1433"/>
      <c r="J31" s="1433"/>
      <c r="K31" s="1433"/>
      <c r="L31" s="1434"/>
      <c r="M31" s="1433"/>
      <c r="N31" s="1433"/>
      <c r="O31" s="1433"/>
      <c r="S31" s="2315" t="s">
        <v>430</v>
      </c>
      <c r="T31" s="2315"/>
      <c r="U31" s="1437"/>
      <c r="V31" s="2316" t="str">
        <f>IF(TITLE_NUMBER_PR_CHANGE="",IF(TITLE_NUMBER_PR="","",TITLE_NUMBER_PR),TITLE_NUMBER_PR_CHANGE)</f>
        <v>57</v>
      </c>
      <c r="W31" s="2316"/>
      <c r="X31" s="2316"/>
      <c r="Y31" s="2316"/>
      <c r="Z31" s="2316"/>
      <c r="AA31" s="2316"/>
      <c r="AB31" s="2316"/>
      <c r="AC31" s="391"/>
      <c r="AD31" s="2316" t="str">
        <f>IF(TITLE_NUMBER_PR_CHANGE="",IF(TITLE_NUMBER_PR="","",TITLE_NUMBER_PR),TITLE_NUMBER_PR_CHANGE)</f>
        <v>57</v>
      </c>
      <c r="AE31" s="2316"/>
      <c r="AF31" s="2316"/>
      <c r="AG31" s="2316"/>
      <c r="AH31" s="2316"/>
      <c r="AI31" s="2316"/>
      <c r="AJ31" s="2316"/>
      <c r="AK31" s="391"/>
      <c r="AL31" s="391"/>
      <c r="AM31" s="345"/>
      <c r="AN31" s="433"/>
      <c r="AO31" s="433"/>
      <c r="AP31" s="433"/>
      <c r="AQ31" s="433"/>
      <c r="AR31" s="433"/>
      <c r="AS31" s="483">
        <v>0</v>
      </c>
    </row>
    <row s="6339"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http://pravo.gov.ru</v>
      </c>
      <c r="W32" s="2316"/>
      <c r="X32" s="2316"/>
      <c r="Y32" s="2316"/>
      <c r="Z32" s="2316"/>
      <c r="AA32" s="2316"/>
      <c r="AB32" s="2316"/>
      <c r="AC32" s="391"/>
      <c r="AD32" s="2316" t="str">
        <f>IF(TITLE_IST_PUB_CHANGE="",IF(TITLE_IST_PUB="","",TITLE_IST_PUB),TITLE_IST_PUB_CHANGE)</f>
        <v>http://pravo.gov.ru</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6339" customFormat="1" customHeight="1" ht="18.75" hidden="1">
      <c r="A34" s="1433"/>
      <c r="B34" s="1433"/>
      <c r="C34" s="1433"/>
      <c r="D34" s="1433"/>
      <c r="E34" s="1433"/>
      <c r="F34" s="1433"/>
      <c r="G34" s="1433"/>
      <c r="H34" s="1433"/>
      <c r="I34" s="1433"/>
      <c r="J34" s="1433"/>
      <c r="K34" s="1433"/>
      <c r="L34" s="1434"/>
      <c r="M34" s="1433"/>
      <c r="N34" s="1433"/>
      <c r="O34" s="1433"/>
      <c r="S34" s="2315" t="s">
        <v>431</v>
      </c>
      <c r="T34" s="2315"/>
      <c r="U34" s="1437"/>
      <c r="V34" s="2329" t="str">
        <f>IF(TITLE_DATE_PR_CHANGE="",IF(TITLE_DATE_PR="","",TITLE_DATE_PR),TITLE_DATE_PR_CHANGE)</f>
        <v>46008.55446759259</v>
      </c>
      <c r="W34" s="2329"/>
      <c r="X34" s="2329"/>
      <c r="Y34" s="2329"/>
      <c r="Z34" s="2329"/>
      <c r="AA34" s="2329"/>
      <c r="AB34" s="2329"/>
      <c r="AC34" s="391"/>
      <c r="AD34" s="2329" t="str">
        <f>IF(TITLE_DATE_PR_CHANGE="",IF(TITLE_DATE_PR="","",TITLE_DATE_PR),TITLE_DATE_PR_CHANGE)</f>
        <v>46008.55446759259</v>
      </c>
      <c r="AE34" s="2329"/>
      <c r="AF34" s="2329"/>
      <c r="AG34" s="2329"/>
      <c r="AH34" s="2329"/>
      <c r="AI34" s="2329"/>
      <c r="AJ34" s="2329"/>
      <c r="AK34" s="391"/>
      <c r="AL34" s="391"/>
      <c r="AM34" s="345"/>
      <c r="AN34" s="433"/>
      <c r="AO34" s="433"/>
      <c r="AP34" s="433"/>
      <c r="AQ34" s="433"/>
      <c r="AR34" s="433"/>
      <c r="AS34" s="483">
        <v>0</v>
      </c>
    </row>
    <row s="6339" customFormat="1" customHeight="1" ht="25.5" hidden="1">
      <c r="A35" s="1433"/>
      <c r="B35" s="1433"/>
      <c r="C35" s="1433"/>
      <c r="D35" s="1433"/>
      <c r="E35" s="1433"/>
      <c r="F35" s="1433"/>
      <c r="G35" s="1433"/>
      <c r="H35" s="1433"/>
      <c r="I35" s="1433"/>
      <c r="J35" s="1433"/>
      <c r="K35" s="1433"/>
      <c r="L35" s="1434"/>
      <c r="M35" s="1433"/>
      <c r="N35" s="1433"/>
      <c r="O35" s="1433"/>
      <c r="S35" s="2315" t="s">
        <v>432</v>
      </c>
      <c r="T35" s="2315"/>
      <c r="U35" s="1437"/>
      <c r="V35" s="2316" t="str">
        <f>IF(TITLE_NUMBER_PR_CHANGE="",IF(TITLE_NUMBER_PR="","",TITLE_NUMBER_PR),TITLE_NUMBER_PR_CHANGE)</f>
        <v>57</v>
      </c>
      <c r="W35" s="2316"/>
      <c r="X35" s="2316"/>
      <c r="Y35" s="2316"/>
      <c r="Z35" s="2316"/>
      <c r="AA35" s="2316"/>
      <c r="AB35" s="2316"/>
      <c r="AC35" s="391"/>
      <c r="AD35" s="2316" t="str">
        <f>IF(TITLE_NUMBER_PR_CHANGE="",IF(TITLE_NUMBER_PR="","",TITLE_NUMBER_PR),TITLE_NUMBER_PR_CHANGE)</f>
        <v>57</v>
      </c>
      <c r="AE35" s="2316"/>
      <c r="AF35" s="2316"/>
      <c r="AG35" s="2316"/>
      <c r="AH35" s="2316"/>
      <c r="AI35" s="2316"/>
      <c r="AJ35" s="2316"/>
      <c r="AK35" s="391"/>
      <c r="AL35" s="391"/>
      <c r="AM35" s="345"/>
      <c r="AN35" s="433"/>
      <c r="AO35" s="433"/>
      <c r="AP35" s="433"/>
      <c r="AQ35" s="433"/>
      <c r="AR35" s="433"/>
      <c r="AS35" s="483">
        <v>0</v>
      </c>
    </row>
    <row s="633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433</v>
      </c>
      <c r="AD36" s="391"/>
      <c r="AE36" s="391"/>
      <c r="AF36" s="391"/>
      <c r="AG36" s="391"/>
      <c r="AH36" s="391"/>
      <c r="AI36" s="391"/>
      <c r="AJ36" s="391"/>
      <c r="AK36" s="343" t="s">
        <v>433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309</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310</v>
      </c>
      <c r="AS38" s="1220">
        <v>14</v>
      </c>
    </row>
    <row customHeight="1" ht="14.699999999999998">
      <c r="Q39" s="441"/>
      <c r="R39" s="441"/>
      <c r="S39" s="2338" t="s">
        <v>91</v>
      </c>
      <c r="T39" s="2274" t="s">
        <v>434</v>
      </c>
      <c r="U39" s="366"/>
      <c r="V39" s="2339" t="s">
        <v>435</v>
      </c>
      <c r="W39" s="2340"/>
      <c r="X39" s="2340"/>
      <c r="Y39" s="2340"/>
      <c r="Z39" s="2340"/>
      <c r="AA39" s="2340"/>
      <c r="AB39" s="2341"/>
      <c r="AC39" s="2342" t="s">
        <v>436</v>
      </c>
      <c r="AD39" s="2339" t="s">
        <v>435</v>
      </c>
      <c r="AE39" s="2340"/>
      <c r="AF39" s="2340"/>
      <c r="AG39" s="2340"/>
      <c r="AH39" s="2340"/>
      <c r="AI39" s="2340"/>
      <c r="AJ39" s="2341"/>
      <c r="AK39" s="2342" t="s">
        <v>437</v>
      </c>
      <c r="AL39" s="2345" t="s">
        <v>438</v>
      </c>
      <c r="AM39" s="2192"/>
      <c r="AS39" s="1220">
        <v>14</v>
      </c>
    </row>
    <row customHeight="1" ht="35.699999999999996">
      <c r="Q40" s="441"/>
      <c r="R40" s="441"/>
      <c r="S40" s="2338"/>
      <c r="T40" s="2274"/>
      <c r="U40" s="1096"/>
      <c r="V40" s="2325" t="s">
        <v>439</v>
      </c>
      <c r="W40" s="2348"/>
      <c r="X40" s="2327" t="s">
        <v>441</v>
      </c>
      <c r="Y40" s="2328"/>
      <c r="Z40" s="2327" t="s">
        <v>442</v>
      </c>
      <c r="AA40" s="2334"/>
      <c r="AB40" s="2328"/>
      <c r="AC40" s="2343"/>
      <c r="AD40" s="2325" t="s">
        <v>460</v>
      </c>
      <c r="AE40" s="2348"/>
      <c r="AF40" s="2327" t="s">
        <v>441</v>
      </c>
      <c r="AG40" s="2328"/>
      <c r="AH40" s="2327" t="s">
        <v>442</v>
      </c>
      <c r="AI40" s="2334"/>
      <c r="AJ40" s="2328"/>
      <c r="AK40" s="2343"/>
      <c r="AL40" s="2346"/>
      <c r="AM40" s="2192"/>
      <c r="AS40" s="1220">
        <v>34</v>
      </c>
    </row>
    <row customHeight="1" ht="35.699999999999996">
      <c r="A41" s="1435"/>
      <c r="B41" s="1435" t="s">
        <v>138</v>
      </c>
      <c r="C41" s="1435" t="s">
        <v>139</v>
      </c>
      <c r="D41" s="1435" t="s">
        <v>140</v>
      </c>
      <c r="E41" s="1429" t="s">
        <v>443</v>
      </c>
      <c r="F41" s="1429" t="s">
        <v>444</v>
      </c>
      <c r="G41" s="1429" t="s">
        <v>445</v>
      </c>
      <c r="H41" s="1429" t="s">
        <v>446</v>
      </c>
      <c r="I41" s="1429" t="s">
        <v>447</v>
      </c>
      <c r="J41" s="1429" t="s">
        <v>448</v>
      </c>
      <c r="K41" s="1429" t="s">
        <v>449</v>
      </c>
      <c r="L41" s="1429" t="s">
        <v>424</v>
      </c>
      <c r="Q41" s="441"/>
      <c r="R41" s="441"/>
      <c r="S41" s="2338"/>
      <c r="T41" s="2274"/>
      <c r="U41" s="367"/>
      <c r="V41" s="2326"/>
      <c r="W41" s="2349"/>
      <c r="X41" s="1287" t="s">
        <v>450</v>
      </c>
      <c r="Y41" s="1287" t="s">
        <v>451</v>
      </c>
      <c r="Z41" s="1403" t="s">
        <v>452</v>
      </c>
      <c r="AA41" s="2335" t="s">
        <v>453</v>
      </c>
      <c r="AB41" s="2336"/>
      <c r="AC41" s="2344"/>
      <c r="AD41" s="2326"/>
      <c r="AE41" s="2349"/>
      <c r="AF41" s="1287" t="s">
        <v>450</v>
      </c>
      <c r="AG41" s="1287" t="s">
        <v>451</v>
      </c>
      <c r="AH41" s="1403" t="s">
        <v>452</v>
      </c>
      <c r="AI41" s="2335" t="s">
        <v>453</v>
      </c>
      <c r="AJ41" s="2336"/>
      <c r="AK41" s="2344"/>
      <c r="AL41" s="2347"/>
      <c r="AM41" s="2192"/>
      <c r="AS41" s="1220">
        <v>34</v>
      </c>
    </row>
    <row s="4600"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197</v>
      </c>
      <c r="B44" s="1428" t="s">
        <v>198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406</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407</v>
      </c>
      <c r="AO44" s="565"/>
      <c r="AP44" s="565" t="str">
        <f>IF(T44="","",T44)</f>
        <v>Территория действия тарифа</v>
      </c>
      <c r="AQ44" s="565"/>
      <c r="AR44" s="565"/>
      <c r="AS44" s="1220">
        <v>21</v>
      </c>
    </row>
    <row customHeight="1" ht="24">
      <c r="A45" s="1428" t="s">
        <v>197</v>
      </c>
      <c r="B45" s="1428" t="s">
        <v>198</v>
      </c>
      <c r="C45" s="1428" t="s">
        <v>199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408</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409</v>
      </c>
      <c r="AO45" s="565"/>
      <c r="AP45" s="565" t="str">
        <f>IF(T45="","",T45)</f>
        <v>Наименование системы теплоснабжения </v>
      </c>
      <c r="AQ45" s="565"/>
      <c r="AR45" s="565"/>
      <c r="AS45" s="1220">
        <v>23</v>
      </c>
    </row>
    <row customHeight="1" ht="22.049999999999997">
      <c r="A46" s="1428" t="s">
        <v>197</v>
      </c>
      <c r="B46" s="1428" t="s">
        <v>198</v>
      </c>
      <c r="C46" s="1428" t="s">
        <v>199</v>
      </c>
      <c r="D46" s="1428" t="s">
        <v>200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410</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411</v>
      </c>
      <c r="AO46" s="565"/>
      <c r="AP46" s="565" t="str">
        <f>IF(T46="","",T46)</f>
        <v>Источник тепловой энергии  </v>
      </c>
      <c r="AQ46" s="565"/>
      <c r="AR46" s="565"/>
      <c r="AS46" s="1220">
        <v>21</v>
      </c>
    </row>
    <row s="5305" customFormat="1" customHeight="1" ht="0">
      <c r="A47" s="1408" t="s">
        <v>197</v>
      </c>
      <c r="B47" s="1408" t="s">
        <v>198</v>
      </c>
      <c r="C47" s="1408" t="s">
        <v>199</v>
      </c>
      <c r="D47" s="1408" t="s">
        <v>200</v>
      </c>
      <c r="E47" s="2324"/>
      <c r="F47" s="2324"/>
      <c r="G47" s="2324"/>
      <c r="H47" s="2324"/>
      <c r="I47" s="2321" t="str">
        <f>S46&amp;".1"</f>
        <v>....1</v>
      </c>
      <c r="J47" s="1408"/>
      <c r="K47" s="1408"/>
      <c r="L47" s="1411" t="s">
        <v>412</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197</v>
      </c>
      <c r="B48" s="1428" t="s">
        <v>198</v>
      </c>
      <c r="C48" s="1428" t="s">
        <v>199</v>
      </c>
      <c r="D48" s="1428" t="s">
        <v>200</v>
      </c>
      <c r="E48" s="2324"/>
      <c r="F48" s="2324"/>
      <c r="G48" s="2324"/>
      <c r="H48" s="2324"/>
      <c r="I48" s="2351"/>
      <c r="J48" s="2321" t="str">
        <f>S46&amp;".1"</f>
        <v>....1</v>
      </c>
      <c r="K48" s="1428"/>
      <c r="L48" s="1429" t="s">
        <v>415</v>
      </c>
      <c r="P48" s="2322"/>
      <c r="Q48" s="2322">
        <v>1</v>
      </c>
      <c r="R48" s="422"/>
      <c r="S48" s="1401" t="str">
        <f>$J48</f>
        <v>....1</v>
      </c>
      <c r="T48" s="351" t="s">
        <v>416</v>
      </c>
      <c r="U48" s="365"/>
      <c r="V48" s="2310"/>
      <c r="W48" s="2311"/>
      <c r="X48" s="2311"/>
      <c r="Y48" s="2311"/>
      <c r="Z48" s="2311"/>
      <c r="AA48" s="2311"/>
      <c r="AB48" s="2311"/>
      <c r="AC48" s="2312"/>
      <c r="AD48" s="2310"/>
      <c r="AE48" s="2311"/>
      <c r="AF48" s="2311"/>
      <c r="AG48" s="2311"/>
      <c r="AH48" s="2311"/>
      <c r="AI48" s="2311"/>
      <c r="AJ48" s="2311"/>
      <c r="AK48" s="2311"/>
      <c r="AL48" s="2312"/>
      <c r="AM48" s="1323" t="s">
        <v>417</v>
      </c>
      <c r="AO48" s="565"/>
      <c r="AP48" s="565" t="str">
        <f>IF(T48="","",T48)</f>
        <v>Группа потребителей</v>
      </c>
      <c r="AQ48" s="565"/>
      <c r="AR48" s="565"/>
      <c r="AS48" s="1220">
        <v>21</v>
      </c>
    </row>
    <row customHeight="1" ht="22.049999999999997">
      <c r="A49" s="1428" t="s">
        <v>197</v>
      </c>
      <c r="B49" s="1428" t="s">
        <v>198</v>
      </c>
      <c r="C49" s="1428" t="s">
        <v>199</v>
      </c>
      <c r="D49" s="1428" t="s">
        <v>200</v>
      </c>
      <c r="E49" s="2324"/>
      <c r="F49" s="2324"/>
      <c r="G49" s="2324"/>
      <c r="H49" s="2324"/>
      <c r="I49" s="2351"/>
      <c r="J49" s="2351"/>
      <c r="K49" s="2321" t="str">
        <f>J48&amp;".1"</f>
        <v>....1.1</v>
      </c>
      <c r="L49" s="1429" t="s">
        <v>418</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461</v>
      </c>
      <c r="AN49" s="576">
        <f>STRCHECKDATE(V50:AL50)</f>
      </c>
      <c r="AO49" s="565"/>
      <c r="AP49" s="565" t="str">
        <f>IF(T49="","",T49)</f>
        <v/>
      </c>
      <c r="AQ49" s="565"/>
      <c r="AR49" s="565"/>
      <c r="AS49" s="1220">
        <v>21</v>
      </c>
    </row>
    <row customHeight="1" ht="0">
      <c r="A50" s="1428" t="s">
        <v>197</v>
      </c>
      <c r="B50" s="1428" t="s">
        <v>198</v>
      </c>
      <c r="C50" s="1428" t="s">
        <v>199</v>
      </c>
      <c r="D50" s="1428" t="s">
        <v>200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197</v>
      </c>
      <c r="B51" s="1428" t="s">
        <v>198</v>
      </c>
      <c r="C51" s="1428" t="s">
        <v>199</v>
      </c>
      <c r="D51" s="1428" t="s">
        <v>200</v>
      </c>
      <c r="E51" s="2324"/>
      <c r="F51" s="2324"/>
      <c r="G51" s="2324"/>
      <c r="H51" s="2324"/>
      <c r="I51" s="2351"/>
      <c r="J51" s="2321"/>
      <c r="K51" s="1428"/>
      <c r="L51" s="1429"/>
      <c r="P51" s="2322"/>
      <c r="Q51" s="2322"/>
      <c r="R51" s="421"/>
      <c r="S51" s="1343"/>
      <c r="T51" s="352" t="s">
        <v>420</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197</v>
      </c>
      <c r="B52" s="1428" t="s">
        <v>198</v>
      </c>
      <c r="C52" s="1428" t="s">
        <v>199</v>
      </c>
      <c r="D52" s="1428" t="s">
        <v>200</v>
      </c>
      <c r="E52" s="2324"/>
      <c r="F52" s="2324"/>
      <c r="G52" s="2324"/>
      <c r="H52" s="2324"/>
      <c r="I52" s="2321"/>
      <c r="J52" s="1428"/>
      <c r="K52" s="1428"/>
      <c r="L52" s="1429"/>
      <c r="P52" s="2322"/>
      <c r="Q52" s="1396"/>
      <c r="R52" s="421"/>
      <c r="S52" s="1343"/>
      <c r="T52" s="430" t="s">
        <v>421</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197</v>
      </c>
      <c r="B53" s="1428" t="s">
        <v>198</v>
      </c>
      <c r="C53" s="1428" t="s">
        <v>199</v>
      </c>
      <c r="D53" s="1428" t="s">
        <v>200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5305" customFormat="1" customHeight="1" ht="0">
      <c r="A54" s="1408" t="s">
        <v>197</v>
      </c>
      <c r="B54" s="1408" t="s">
        <v>198</v>
      </c>
      <c r="C54" s="1408" t="s">
        <v>199</v>
      </c>
      <c r="D54" s="1379"/>
      <c r="E54" s="2324"/>
      <c r="F54" s="2324"/>
      <c r="G54" s="2323"/>
      <c r="H54" s="1379"/>
      <c r="I54" s="1379"/>
      <c r="J54" s="1379"/>
      <c r="K54" s="1379"/>
      <c r="L54" s="1404"/>
      <c r="M54" s="1380"/>
      <c r="N54" s="1380"/>
      <c r="P54" s="1381"/>
      <c r="Q54" s="1382"/>
      <c r="R54" s="1381"/>
      <c r="S54" s="1387"/>
      <c r="T54" s="1390" t="s">
        <v>170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5305" customFormat="1" customHeight="1" ht="0">
      <c r="A55" s="1408" t="s">
        <v>197</v>
      </c>
      <c r="B55" s="1408" t="s">
        <v>198</v>
      </c>
      <c r="C55" s="1379"/>
      <c r="D55" s="1379"/>
      <c r="E55" s="2324"/>
      <c r="F55" s="2323"/>
      <c r="G55" s="1379"/>
      <c r="H55" s="1379"/>
      <c r="I55" s="1379"/>
      <c r="J55" s="1379"/>
      <c r="K55" s="1379"/>
      <c r="L55" s="1404"/>
      <c r="M55" s="1386"/>
      <c r="N55" s="1386"/>
      <c r="P55" s="1381"/>
      <c r="Q55" s="1382"/>
      <c r="R55" s="1381"/>
      <c r="S55" s="1387"/>
      <c r="T55" s="1390" t="s">
        <v>171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5305" customFormat="1" customHeight="1" ht="0">
      <c r="A56" s="1408" t="s">
        <v>197</v>
      </c>
      <c r="B56" s="1408"/>
      <c r="C56" s="1408"/>
      <c r="D56" s="1408"/>
      <c r="E56" s="2323"/>
      <c r="F56" s="1408"/>
      <c r="G56" s="1408"/>
      <c r="H56" s="1408"/>
      <c r="I56" s="1408"/>
      <c r="J56" s="1408"/>
      <c r="K56" s="1408"/>
      <c r="L56" s="1411"/>
      <c r="M56" s="1386"/>
      <c r="N56" s="1386"/>
      <c r="O56" s="583"/>
      <c r="P56" s="445"/>
      <c r="Q56" s="1409"/>
      <c r="R56" s="445"/>
      <c r="S56" s="1387"/>
      <c r="T56" s="1390" t="s">
        <v>172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5305"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173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4B82D-1B8E-95AB-BAC4-0.AD9C43F1}" mc:Ignorable="x14ac xr xr2 xr3">
  <sheetPr>
    <tabColor theme="6" tint="0.4"/>
  </sheetPr>
  <dimension ref="A1:DH84"/>
  <sheetViews>
    <sheetView topLeftCell="A1" showGridLines="0" zoomScale="90" workbookViewId="0">
      <selection activeCell="CG71" sqref="CG71"/>
    </sheetView>
  </sheetViews>
  <sheetFormatPr defaultColWidth="10.57421875" customHeight="1" defaultRowHeight="14.25"/>
  <cols>
    <col min="1" max="1" style="5796" width="10.57421875" hidden="1"/>
    <col min="2" max="2" style="5796" width="11.00390625" hidden="1" customWidth="1"/>
    <col min="3" max="3" style="5796" width="10.57421875" hidden="1"/>
    <col min="4" max="4" style="5796" width="11.8515625" hidden="1" customWidth="1"/>
    <col min="5" max="5" style="5796" width="10.00390625" hidden="1" customWidth="1"/>
    <col min="6" max="6" style="5796" width="8.7109375" hidden="1" customWidth="1"/>
    <col min="7" max="7" style="5796" width="7.57421875" hidden="1" customWidth="1"/>
    <col min="8" max="8" style="5796" width="11.421875" hidden="1" customWidth="1"/>
    <col min="9" max="9" style="5796" width="12.00390625" hidden="1" customWidth="1"/>
    <col min="10" max="10" style="5796" width="9.8515625" hidden="1" customWidth="1"/>
    <col min="11" max="12" style="5796" width="11.421875" hidden="1" customWidth="1"/>
    <col min="13" max="13" style="6460" width="19.140625" hidden="1" customWidth="1"/>
    <col min="14" max="15" style="6479" width="12.28125" hidden="1" customWidth="1"/>
    <col min="16" max="16" style="6479" width="23.421875" hidden="1" customWidth="1"/>
    <col min="17" max="17" style="6479" width="3.7109375" hidden="1" customWidth="1"/>
    <col min="18" max="20" style="5766" width="3.00390625" customWidth="1"/>
    <col min="21" max="21" style="6453" width="12.00390625" customWidth="1"/>
    <col min="22" max="22" style="5796" width="31.00390625" customWidth="1"/>
    <col min="23" max="23" style="5796" width="0.140625" customWidth="1"/>
    <col min="24" max="28" style="5796" width="21.7109375" hidden="1" customWidth="1"/>
    <col min="29" max="29" style="5796" width="11.7109375" hidden="1" customWidth="1"/>
    <col min="30" max="30" style="5796" width="3.7109375" hidden="1" customWidth="1"/>
    <col min="31" max="31" style="5796" width="11.7109375" hidden="1" customWidth="1"/>
    <col min="32" max="32" style="5796" width="8.57421875" hidden="1" customWidth="1"/>
    <col min="33" max="33" style="5796" width="21.7109375" customWidth="1"/>
    <col min="34" max="37" style="5796" width="21.00390625" customWidth="1"/>
    <col min="38" max="38" style="5796" width="11.00390625" customWidth="1"/>
    <col min="39" max="39" style="5796" width="3.7109375" customWidth="1"/>
    <col min="40" max="40" style="5796" width="11.00390625" customWidth="1"/>
    <col min="41" max="41" style="5796" width="8.57421875" customWidth="1"/>
    <col min="104" max="104" style="127" width="10.57421875" hidden="1"/>
    <col min="105" max="105" style="5796" width="4.00390625" customWidth="1"/>
    <col min="106" max="106" style="5796" width="115.00390625" customWidth="1"/>
    <col min="107" max="111" style="5305" width="10.00390625" customWidth="1"/>
    <col min="112" max="112" style="5796" width="10.57421875" hidden="1"/>
  </cols>
  <sheetData>
    <row customHeight="1" ht="22.5" hidden="1">
      <c r="AB1" s="392"/>
      <c r="AC1" s="392"/>
      <c r="AK1" s="392"/>
      <c r="AL1" s="392"/>
      <c r="AP1" s="5796"/>
      <c r="AQ1" s="5796"/>
      <c r="AR1" s="5796"/>
      <c r="AS1" s="5796"/>
      <c r="AT1" s="5796"/>
      <c r="AU1" s="5796"/>
      <c r="AV1" s="5796"/>
      <c r="AW1" s="5796"/>
      <c r="AX1" s="5796"/>
      <c r="AY1" s="5796"/>
      <c r="AZ1" s="5796"/>
      <c r="BA1" s="5796"/>
      <c r="BB1" s="5796"/>
      <c r="BC1" s="5796"/>
      <c r="BD1" s="5796"/>
      <c r="BE1" s="5796"/>
      <c r="BF1" s="5796"/>
      <c r="BG1" s="5796"/>
      <c r="BH1" s="5796"/>
      <c r="BI1" s="5796"/>
      <c r="BJ1" s="5796"/>
      <c r="BK1" s="5796"/>
      <c r="BL1" s="5796"/>
      <c r="BM1" s="5796"/>
      <c r="BN1" s="5796"/>
      <c r="BO1" s="5796"/>
      <c r="BP1" s="5796"/>
      <c r="BQ1" s="5796"/>
      <c r="BR1" s="5796"/>
      <c r="BS1" s="5796"/>
      <c r="BT1" s="5796"/>
      <c r="BU1" s="5796"/>
      <c r="BV1" s="5796"/>
      <c r="BW1" s="5796"/>
      <c r="BX1" s="5796"/>
      <c r="BY1" s="5796"/>
      <c r="BZ1" s="5796"/>
      <c r="CA1" s="5796"/>
      <c r="CB1" s="5796"/>
      <c r="CC1" s="5796"/>
      <c r="CD1" s="5796"/>
      <c r="CE1" s="5796"/>
      <c r="CF1" s="5796"/>
      <c r="CG1" s="5796"/>
      <c r="CH1" s="5796"/>
      <c r="CI1" s="5796"/>
      <c r="CJ1" s="5796"/>
      <c r="CK1" s="5796"/>
      <c r="CL1" s="5796"/>
      <c r="CM1" s="5796"/>
      <c r="CN1" s="5796"/>
      <c r="CO1" s="5796"/>
      <c r="CP1" s="5796"/>
      <c r="CQ1" s="5796"/>
      <c r="CR1" s="5796"/>
      <c r="CS1" s="5796"/>
      <c r="CT1" s="5796"/>
      <c r="CU1" s="5796"/>
      <c r="CV1" s="5796"/>
      <c r="CW1" s="5796"/>
      <c r="CX1" s="5796"/>
      <c r="CY1" s="5796"/>
      <c r="CZ1" s="6520"/>
      <c r="DH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3781"/>
      <c r="AQ2" s="5092"/>
      <c r="AR2" s="5092"/>
      <c r="AS2" s="5092"/>
      <c r="AT2" s="5092"/>
      <c r="AU2" s="5092"/>
      <c r="AV2" s="5092"/>
      <c r="AW2" s="5092"/>
      <c r="AX2" s="3783"/>
      <c r="AY2" s="3781"/>
      <c r="AZ2" s="5092"/>
      <c r="BA2" s="5092"/>
      <c r="BB2" s="5092"/>
      <c r="BC2" s="5092"/>
      <c r="BD2" s="5092"/>
      <c r="BE2" s="5092"/>
      <c r="BF2" s="5092"/>
      <c r="BG2" s="3783"/>
      <c r="BH2" s="3781"/>
      <c r="BI2" s="5092"/>
      <c r="BJ2" s="5092"/>
      <c r="BK2" s="5092"/>
      <c r="BL2" s="5092"/>
      <c r="BM2" s="5092"/>
      <c r="BN2" s="5092"/>
      <c r="BO2" s="5092"/>
      <c r="BP2" s="3783"/>
      <c r="BQ2" s="3781"/>
      <c r="BR2" s="5092"/>
      <c r="BS2" s="5092"/>
      <c r="BT2" s="5092"/>
      <c r="BU2" s="5092"/>
      <c r="BV2" s="5092"/>
      <c r="BW2" s="5092"/>
      <c r="BX2" s="5092"/>
      <c r="BY2" s="3783"/>
      <c r="BZ2" s="3781"/>
      <c r="CA2" s="5092"/>
      <c r="CB2" s="5092"/>
      <c r="CC2" s="5092"/>
      <c r="CD2" s="5092"/>
      <c r="CE2" s="5092"/>
      <c r="CF2" s="5092"/>
      <c r="CG2" s="5092"/>
      <c r="CH2" s="3783"/>
      <c r="CI2" s="3781"/>
      <c r="CJ2" s="5092"/>
      <c r="CK2" s="5092"/>
      <c r="CL2" s="5092"/>
      <c r="CM2" s="5092"/>
      <c r="CN2" s="5092"/>
      <c r="CO2" s="5092"/>
      <c r="CP2" s="5092"/>
      <c r="CQ2" s="3783"/>
      <c r="CR2" s="3781"/>
      <c r="CS2" s="5092"/>
      <c r="CT2" s="5092"/>
      <c r="CU2" s="5092"/>
      <c r="CV2" s="5092"/>
      <c r="CW2" s="5092"/>
      <c r="CX2" s="5092"/>
      <c r="CY2" s="5092"/>
      <c r="CZ2" s="6521"/>
      <c r="DA2" s="2309"/>
      <c r="DB2" s="1323" t="s">
        <v>405</v>
      </c>
      <c r="DD2" s="565"/>
      <c r="DE2" s="565" t="str">
        <f>IF(V2="","",V2)</f>
        <v>Наименование тарифа</v>
      </c>
      <c r="DF2" s="565"/>
      <c r="DG2" s="565"/>
      <c r="DH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406</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3781"/>
      <c r="AQ3" s="5092"/>
      <c r="AR3" s="5092"/>
      <c r="AS3" s="5092"/>
      <c r="AT3" s="5092"/>
      <c r="AU3" s="5092"/>
      <c r="AV3" s="5092"/>
      <c r="AW3" s="5092"/>
      <c r="AX3" s="3783"/>
      <c r="AY3" s="3781"/>
      <c r="AZ3" s="5092"/>
      <c r="BA3" s="5092"/>
      <c r="BB3" s="5092"/>
      <c r="BC3" s="5092"/>
      <c r="BD3" s="5092"/>
      <c r="BE3" s="5092"/>
      <c r="BF3" s="5092"/>
      <c r="BG3" s="3783"/>
      <c r="BH3" s="3781"/>
      <c r="BI3" s="5092"/>
      <c r="BJ3" s="5092"/>
      <c r="BK3" s="5092"/>
      <c r="BL3" s="5092"/>
      <c r="BM3" s="5092"/>
      <c r="BN3" s="5092"/>
      <c r="BO3" s="5092"/>
      <c r="BP3" s="3783"/>
      <c r="BQ3" s="3781"/>
      <c r="BR3" s="5092"/>
      <c r="BS3" s="5092"/>
      <c r="BT3" s="5092"/>
      <c r="BU3" s="5092"/>
      <c r="BV3" s="5092"/>
      <c r="BW3" s="5092"/>
      <c r="BX3" s="5092"/>
      <c r="BY3" s="3783"/>
      <c r="BZ3" s="3781"/>
      <c r="CA3" s="5092"/>
      <c r="CB3" s="5092"/>
      <c r="CC3" s="5092"/>
      <c r="CD3" s="5092"/>
      <c r="CE3" s="5092"/>
      <c r="CF3" s="5092"/>
      <c r="CG3" s="5092"/>
      <c r="CH3" s="3783"/>
      <c r="CI3" s="3781"/>
      <c r="CJ3" s="5092"/>
      <c r="CK3" s="5092"/>
      <c r="CL3" s="5092"/>
      <c r="CM3" s="5092"/>
      <c r="CN3" s="5092"/>
      <c r="CO3" s="5092"/>
      <c r="CP3" s="5092"/>
      <c r="CQ3" s="3783"/>
      <c r="CR3" s="3781"/>
      <c r="CS3" s="5092"/>
      <c r="CT3" s="5092"/>
      <c r="CU3" s="5092"/>
      <c r="CV3" s="5092"/>
      <c r="CW3" s="5092"/>
      <c r="CX3" s="5092"/>
      <c r="CY3" s="5092"/>
      <c r="CZ3" s="6521"/>
      <c r="DA3" s="2309"/>
      <c r="DB3" s="1323" t="s">
        <v>407</v>
      </c>
      <c r="DD3" s="565"/>
      <c r="DE3" s="565" t="str">
        <f>IF(V3="","",V3)</f>
        <v>Территория действия тарифа</v>
      </c>
      <c r="DF3" s="565"/>
      <c r="DG3" s="565"/>
      <c r="DH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408</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3781"/>
      <c r="AQ4" s="5092"/>
      <c r="AR4" s="5092"/>
      <c r="AS4" s="5092"/>
      <c r="AT4" s="5092"/>
      <c r="AU4" s="5092"/>
      <c r="AV4" s="5092"/>
      <c r="AW4" s="5092"/>
      <c r="AX4" s="3783"/>
      <c r="AY4" s="3781"/>
      <c r="AZ4" s="5092"/>
      <c r="BA4" s="5092"/>
      <c r="BB4" s="5092"/>
      <c r="BC4" s="5092"/>
      <c r="BD4" s="5092"/>
      <c r="BE4" s="5092"/>
      <c r="BF4" s="5092"/>
      <c r="BG4" s="3783"/>
      <c r="BH4" s="3781"/>
      <c r="BI4" s="5092"/>
      <c r="BJ4" s="5092"/>
      <c r="BK4" s="5092"/>
      <c r="BL4" s="5092"/>
      <c r="BM4" s="5092"/>
      <c r="BN4" s="5092"/>
      <c r="BO4" s="5092"/>
      <c r="BP4" s="3783"/>
      <c r="BQ4" s="3781"/>
      <c r="BR4" s="5092"/>
      <c r="BS4" s="5092"/>
      <c r="BT4" s="5092"/>
      <c r="BU4" s="5092"/>
      <c r="BV4" s="5092"/>
      <c r="BW4" s="5092"/>
      <c r="BX4" s="5092"/>
      <c r="BY4" s="3783"/>
      <c r="BZ4" s="3781"/>
      <c r="CA4" s="5092"/>
      <c r="CB4" s="5092"/>
      <c r="CC4" s="5092"/>
      <c r="CD4" s="5092"/>
      <c r="CE4" s="5092"/>
      <c r="CF4" s="5092"/>
      <c r="CG4" s="5092"/>
      <c r="CH4" s="3783"/>
      <c r="CI4" s="3781"/>
      <c r="CJ4" s="5092"/>
      <c r="CK4" s="5092"/>
      <c r="CL4" s="5092"/>
      <c r="CM4" s="5092"/>
      <c r="CN4" s="5092"/>
      <c r="CO4" s="5092"/>
      <c r="CP4" s="5092"/>
      <c r="CQ4" s="3783"/>
      <c r="CR4" s="3781"/>
      <c r="CS4" s="5092"/>
      <c r="CT4" s="5092"/>
      <c r="CU4" s="5092"/>
      <c r="CV4" s="5092"/>
      <c r="CW4" s="5092"/>
      <c r="CX4" s="5092"/>
      <c r="CY4" s="5092"/>
      <c r="CZ4" s="6521"/>
      <c r="DA4" s="2309"/>
      <c r="DB4" s="1323" t="s">
        <v>409</v>
      </c>
      <c r="DD4" s="565"/>
      <c r="DE4" s="565" t="str">
        <f>IF(V4="","",V4)</f>
        <v>Наименование системы теплоснабжения </v>
      </c>
      <c r="DF4" s="565"/>
      <c r="DG4" s="565"/>
      <c r="DH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410</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3781"/>
      <c r="AQ5" s="5092"/>
      <c r="AR5" s="5092"/>
      <c r="AS5" s="5092"/>
      <c r="AT5" s="5092"/>
      <c r="AU5" s="5092"/>
      <c r="AV5" s="5092"/>
      <c r="AW5" s="5092"/>
      <c r="AX5" s="3783"/>
      <c r="AY5" s="3781"/>
      <c r="AZ5" s="5092"/>
      <c r="BA5" s="5092"/>
      <c r="BB5" s="5092"/>
      <c r="BC5" s="5092"/>
      <c r="BD5" s="5092"/>
      <c r="BE5" s="5092"/>
      <c r="BF5" s="5092"/>
      <c r="BG5" s="3783"/>
      <c r="BH5" s="3781"/>
      <c r="BI5" s="5092"/>
      <c r="BJ5" s="5092"/>
      <c r="BK5" s="5092"/>
      <c r="BL5" s="5092"/>
      <c r="BM5" s="5092"/>
      <c r="BN5" s="5092"/>
      <c r="BO5" s="5092"/>
      <c r="BP5" s="3783"/>
      <c r="BQ5" s="3781"/>
      <c r="BR5" s="5092"/>
      <c r="BS5" s="5092"/>
      <c r="BT5" s="5092"/>
      <c r="BU5" s="5092"/>
      <c r="BV5" s="5092"/>
      <c r="BW5" s="5092"/>
      <c r="BX5" s="5092"/>
      <c r="BY5" s="3783"/>
      <c r="BZ5" s="3781"/>
      <c r="CA5" s="5092"/>
      <c r="CB5" s="5092"/>
      <c r="CC5" s="5092"/>
      <c r="CD5" s="5092"/>
      <c r="CE5" s="5092"/>
      <c r="CF5" s="5092"/>
      <c r="CG5" s="5092"/>
      <c r="CH5" s="3783"/>
      <c r="CI5" s="3781"/>
      <c r="CJ5" s="5092"/>
      <c r="CK5" s="5092"/>
      <c r="CL5" s="5092"/>
      <c r="CM5" s="5092"/>
      <c r="CN5" s="5092"/>
      <c r="CO5" s="5092"/>
      <c r="CP5" s="5092"/>
      <c r="CQ5" s="3783"/>
      <c r="CR5" s="3781"/>
      <c r="CS5" s="5092"/>
      <c r="CT5" s="5092"/>
      <c r="CU5" s="5092"/>
      <c r="CV5" s="5092"/>
      <c r="CW5" s="5092"/>
      <c r="CX5" s="5092"/>
      <c r="CY5" s="5092"/>
      <c r="CZ5" s="6521"/>
      <c r="DA5" s="2309"/>
      <c r="DB5" s="1323" t="s">
        <v>411</v>
      </c>
      <c r="DD5" s="565"/>
      <c r="DE5" s="565" t="str">
        <f>IF(V5="","",V5)</f>
        <v>Источник тепловой энергии  </v>
      </c>
      <c r="DF5" s="565"/>
      <c r="DG5" s="565"/>
      <c r="DH5" s="1220">
        <v>0</v>
      </c>
    </row>
    <row customHeight="1" ht="14.25" hidden="1">
      <c r="A6" s="1332"/>
      <c r="B6" s="1332"/>
      <c r="C6" s="1332"/>
      <c r="D6" s="1332"/>
      <c r="E6" s="2355"/>
      <c r="F6" s="2355"/>
      <c r="G6" s="2355"/>
      <c r="H6" s="2355"/>
      <c r="I6" s="2192">
        <f>U5&amp;".1"</f>
      </c>
      <c r="J6" s="1332"/>
      <c r="K6" s="1332"/>
      <c r="L6" s="1332"/>
      <c r="M6" s="1375" t="s">
        <v>412</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4633"/>
      <c r="AQ6" s="5094"/>
      <c r="AR6" s="5094"/>
      <c r="AS6" s="5094"/>
      <c r="AT6" s="5094"/>
      <c r="AU6" s="5094"/>
      <c r="AV6" s="5094"/>
      <c r="AW6" s="5094"/>
      <c r="AX6" s="4635"/>
      <c r="AY6" s="4633"/>
      <c r="AZ6" s="5094"/>
      <c r="BA6" s="5094"/>
      <c r="BB6" s="5094"/>
      <c r="BC6" s="5094"/>
      <c r="BD6" s="5094"/>
      <c r="BE6" s="5094"/>
      <c r="BF6" s="5094"/>
      <c r="BG6" s="4635"/>
      <c r="BH6" s="4633"/>
      <c r="BI6" s="5094"/>
      <c r="BJ6" s="5094"/>
      <c r="BK6" s="5094"/>
      <c r="BL6" s="5094"/>
      <c r="BM6" s="5094"/>
      <c r="BN6" s="5094"/>
      <c r="BO6" s="5094"/>
      <c r="BP6" s="4635"/>
      <c r="BQ6" s="4633"/>
      <c r="BR6" s="5094"/>
      <c r="BS6" s="5094"/>
      <c r="BT6" s="5094"/>
      <c r="BU6" s="5094"/>
      <c r="BV6" s="5094"/>
      <c r="BW6" s="5094"/>
      <c r="BX6" s="5094"/>
      <c r="BY6" s="4635"/>
      <c r="BZ6" s="4633"/>
      <c r="CA6" s="5094"/>
      <c r="CB6" s="5094"/>
      <c r="CC6" s="5094"/>
      <c r="CD6" s="5094"/>
      <c r="CE6" s="5094"/>
      <c r="CF6" s="5094"/>
      <c r="CG6" s="5094"/>
      <c r="CH6" s="4635"/>
      <c r="CI6" s="4633"/>
      <c r="CJ6" s="5094"/>
      <c r="CK6" s="5094"/>
      <c r="CL6" s="5094"/>
      <c r="CM6" s="5094"/>
      <c r="CN6" s="5094"/>
      <c r="CO6" s="5094"/>
      <c r="CP6" s="5094"/>
      <c r="CQ6" s="4635"/>
      <c r="CR6" s="4633"/>
      <c r="CS6" s="5094"/>
      <c r="CT6" s="5094"/>
      <c r="CU6" s="5094"/>
      <c r="CV6" s="5094"/>
      <c r="CW6" s="5094"/>
      <c r="CX6" s="5094"/>
      <c r="CY6" s="5094"/>
      <c r="CZ6" s="6550"/>
      <c r="DA6" s="2363"/>
      <c r="DB6" s="1450"/>
      <c r="DD6" s="565"/>
      <c r="DE6" s="565" t="str">
        <f>IF(V6="","",V6)</f>
        <v/>
      </c>
      <c r="DF6" s="565"/>
      <c r="DG6" s="565"/>
      <c r="DH6" s="1220">
        <v>0</v>
      </c>
    </row>
    <row customHeight="1" ht="21" hidden="1">
      <c r="A7" s="1332"/>
      <c r="B7" s="1332"/>
      <c r="C7" s="1332"/>
      <c r="D7" s="1332"/>
      <c r="E7" s="2355"/>
      <c r="F7" s="2355"/>
      <c r="G7" s="2355"/>
      <c r="H7" s="2355"/>
      <c r="I7" s="2166"/>
      <c r="J7" s="2192">
        <f>I6&amp;".1"</f>
      </c>
      <c r="K7" s="1332"/>
      <c r="L7" s="1332"/>
      <c r="M7" s="1375" t="s">
        <v>415</v>
      </c>
      <c r="N7" s="574"/>
      <c r="O7" s="392"/>
      <c r="Q7" s="2322"/>
      <c r="R7" s="2322">
        <v>1</v>
      </c>
      <c r="S7" s="583"/>
      <c r="T7" s="422"/>
      <c r="U7" s="1401">
        <f>$J7</f>
      </c>
      <c r="V7" s="351" t="s">
        <v>416</v>
      </c>
      <c r="W7" s="365"/>
      <c r="X7" s="2310"/>
      <c r="Y7" s="2311"/>
      <c r="Z7" s="2311"/>
      <c r="AA7" s="2311"/>
      <c r="AB7" s="2311"/>
      <c r="AC7" s="2300"/>
      <c r="AD7" s="2300"/>
      <c r="AE7" s="2300"/>
      <c r="AF7" s="2373"/>
      <c r="AG7" s="2310"/>
      <c r="AH7" s="2311"/>
      <c r="AI7" s="2311"/>
      <c r="AJ7" s="2311"/>
      <c r="AK7" s="2311"/>
      <c r="AL7" s="2311"/>
      <c r="AM7" s="2311"/>
      <c r="AN7" s="2311"/>
      <c r="AO7" s="2311"/>
      <c r="AP7" s="6128"/>
      <c r="AQ7" s="3787"/>
      <c r="AR7" s="3787"/>
      <c r="AS7" s="3787"/>
      <c r="AT7" s="3787"/>
      <c r="AU7" s="3566"/>
      <c r="AV7" s="3566"/>
      <c r="AW7" s="3566"/>
      <c r="AX7" s="4958"/>
      <c r="AY7" s="6128"/>
      <c r="AZ7" s="3787"/>
      <c r="BA7" s="3787"/>
      <c r="BB7" s="3787"/>
      <c r="BC7" s="3787"/>
      <c r="BD7" s="3566"/>
      <c r="BE7" s="3566"/>
      <c r="BF7" s="3566"/>
      <c r="BG7" s="4958"/>
      <c r="BH7" s="6128"/>
      <c r="BI7" s="3787"/>
      <c r="BJ7" s="3787"/>
      <c r="BK7" s="3787"/>
      <c r="BL7" s="3787"/>
      <c r="BM7" s="3566"/>
      <c r="BN7" s="3566"/>
      <c r="BO7" s="3566"/>
      <c r="BP7" s="4958"/>
      <c r="BQ7" s="6128"/>
      <c r="BR7" s="3787"/>
      <c r="BS7" s="3787"/>
      <c r="BT7" s="3787"/>
      <c r="BU7" s="3787"/>
      <c r="BV7" s="3566"/>
      <c r="BW7" s="3566"/>
      <c r="BX7" s="3566"/>
      <c r="BY7" s="4958"/>
      <c r="BZ7" s="6128"/>
      <c r="CA7" s="3787"/>
      <c r="CB7" s="3787"/>
      <c r="CC7" s="3787"/>
      <c r="CD7" s="3787"/>
      <c r="CE7" s="3566"/>
      <c r="CF7" s="3566"/>
      <c r="CG7" s="3566"/>
      <c r="CH7" s="4958"/>
      <c r="CI7" s="6128"/>
      <c r="CJ7" s="3787"/>
      <c r="CK7" s="3787"/>
      <c r="CL7" s="3787"/>
      <c r="CM7" s="3787"/>
      <c r="CN7" s="3566"/>
      <c r="CO7" s="3566"/>
      <c r="CP7" s="3566"/>
      <c r="CQ7" s="4958"/>
      <c r="CR7" s="6128"/>
      <c r="CS7" s="3787"/>
      <c r="CT7" s="3787"/>
      <c r="CU7" s="3787"/>
      <c r="CV7" s="3787"/>
      <c r="CW7" s="3566"/>
      <c r="CX7" s="3566"/>
      <c r="CY7" s="3566"/>
      <c r="CZ7" s="7152"/>
      <c r="DA7" s="2312"/>
      <c r="DB7" s="1323" t="s">
        <v>417</v>
      </c>
      <c r="DD7" s="565"/>
      <c r="DE7" s="565" t="str">
        <f>IF(V7="","",V7)</f>
        <v>Группа потребителей</v>
      </c>
      <c r="DF7" s="565"/>
      <c r="DG7" s="565"/>
      <c r="DH7" s="1220">
        <v>0</v>
      </c>
    </row>
    <row customHeight="1" ht="21" hidden="1">
      <c r="A8" s="1332"/>
      <c r="B8" s="1332"/>
      <c r="C8" s="1332"/>
      <c r="D8" s="1332"/>
      <c r="E8" s="2355"/>
      <c r="F8" s="2355"/>
      <c r="G8" s="2355"/>
      <c r="H8" s="2355"/>
      <c r="I8" s="2166"/>
      <c r="J8" s="2166"/>
      <c r="K8" s="2192">
        <f>J7&amp;".1"</f>
      </c>
      <c r="L8" s="204"/>
      <c r="M8" s="1375" t="s">
        <v>418</v>
      </c>
      <c r="N8" s="574"/>
      <c r="O8" s="392"/>
      <c r="P8" s="392"/>
      <c r="Q8" s="2322"/>
      <c r="R8" s="2322"/>
      <c r="S8" s="2322">
        <v>1</v>
      </c>
      <c r="T8" s="422"/>
      <c r="U8" s="1401">
        <f>$K8</f>
      </c>
      <c r="V8" s="1412"/>
      <c r="W8" s="365"/>
      <c r="X8" s="816"/>
      <c r="Y8" s="816"/>
      <c r="Z8" s="816"/>
      <c r="AA8" s="816"/>
      <c r="AB8" s="1470"/>
      <c r="AC8" s="2330"/>
      <c r="AD8" s="2172" t="s">
        <v>64</v>
      </c>
      <c r="AE8" s="2330"/>
      <c r="AF8" s="2172" t="s">
        <v>64</v>
      </c>
      <c r="AG8" s="1472"/>
      <c r="AH8" s="816"/>
      <c r="AI8" s="816"/>
      <c r="AJ8" s="816"/>
      <c r="AK8" s="1322"/>
      <c r="AL8" s="2330"/>
      <c r="AM8" s="2172" t="s">
        <v>64</v>
      </c>
      <c r="AN8" s="2330"/>
      <c r="AO8" s="2172" t="s">
        <v>64</v>
      </c>
      <c r="AP8" s="5178"/>
      <c r="AQ8" s="5178"/>
      <c r="AR8" s="5178"/>
      <c r="AS8" s="5178"/>
      <c r="AT8" s="4960"/>
      <c r="AU8" s="6462"/>
      <c r="AV8" s="5532" t="s">
        <v>64</v>
      </c>
      <c r="AW8" s="6462"/>
      <c r="AX8" s="5532" t="s">
        <v>64</v>
      </c>
      <c r="AY8" s="5178"/>
      <c r="AZ8" s="5178"/>
      <c r="BA8" s="5178"/>
      <c r="BB8" s="5178"/>
      <c r="BC8" s="4960"/>
      <c r="BD8" s="6462"/>
      <c r="BE8" s="5532" t="s">
        <v>64</v>
      </c>
      <c r="BF8" s="6462"/>
      <c r="BG8" s="5532" t="s">
        <v>64</v>
      </c>
      <c r="BH8" s="5178"/>
      <c r="BI8" s="5178"/>
      <c r="BJ8" s="5178"/>
      <c r="BK8" s="5178"/>
      <c r="BL8" s="4960"/>
      <c r="BM8" s="6462"/>
      <c r="BN8" s="5532" t="s">
        <v>64</v>
      </c>
      <c r="BO8" s="6462"/>
      <c r="BP8" s="5532" t="s">
        <v>64</v>
      </c>
      <c r="BQ8" s="5178"/>
      <c r="BR8" s="5178"/>
      <c r="BS8" s="5178"/>
      <c r="BT8" s="5178"/>
      <c r="BU8" s="4960"/>
      <c r="BV8" s="6462"/>
      <c r="BW8" s="5532" t="s">
        <v>64</v>
      </c>
      <c r="BX8" s="6462"/>
      <c r="BY8" s="5532" t="s">
        <v>64</v>
      </c>
      <c r="BZ8" s="5178"/>
      <c r="CA8" s="5178"/>
      <c r="CB8" s="5178"/>
      <c r="CC8" s="5178"/>
      <c r="CD8" s="4960"/>
      <c r="CE8" s="6462"/>
      <c r="CF8" s="5532" t="s">
        <v>64</v>
      </c>
      <c r="CG8" s="6462"/>
      <c r="CH8" s="5532" t="s">
        <v>64</v>
      </c>
      <c r="CI8" s="5178"/>
      <c r="CJ8" s="5178"/>
      <c r="CK8" s="5178"/>
      <c r="CL8" s="5178"/>
      <c r="CM8" s="4960"/>
      <c r="CN8" s="6462"/>
      <c r="CO8" s="5532" t="s">
        <v>64</v>
      </c>
      <c r="CP8" s="6462"/>
      <c r="CQ8" s="5532" t="s">
        <v>64</v>
      </c>
      <c r="CR8" s="5178"/>
      <c r="CS8" s="5178"/>
      <c r="CT8" s="5178"/>
      <c r="CU8" s="5178"/>
      <c r="CV8" s="4960"/>
      <c r="CW8" s="6462"/>
      <c r="CX8" s="5532" t="s">
        <v>64</v>
      </c>
      <c r="CY8" s="6462"/>
      <c r="CZ8" s="5532" t="s">
        <v>64</v>
      </c>
      <c r="DA8" s="390"/>
      <c r="DB8" s="1372" t="s">
        <v>462</v>
      </c>
      <c r="DC8" s="576">
        <f>STRCHECKDATE(X10:DA10)</f>
      </c>
      <c r="DD8" s="565"/>
      <c r="DE8" s="565" t="str">
        <f>IF(V8="","",V8)</f>
        <v/>
      </c>
      <c r="DF8" s="565"/>
      <c r="DG8" s="565"/>
      <c r="DH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790"/>
      <c r="AQ9" s="5178"/>
      <c r="AR9" s="5178"/>
      <c r="AS9" s="5178"/>
      <c r="AT9" s="4960"/>
      <c r="AU9" s="6292"/>
      <c r="AV9" s="5532"/>
      <c r="AW9" s="6292"/>
      <c r="AX9" s="5532"/>
      <c r="AY9" s="3790"/>
      <c r="AZ9" s="5178"/>
      <c r="BA9" s="5178"/>
      <c r="BB9" s="5178"/>
      <c r="BC9" s="4960"/>
      <c r="BD9" s="6292"/>
      <c r="BE9" s="5532"/>
      <c r="BF9" s="6292"/>
      <c r="BG9" s="5532"/>
      <c r="BH9" s="3790"/>
      <c r="BI9" s="5178"/>
      <c r="BJ9" s="5178"/>
      <c r="BK9" s="5178"/>
      <c r="BL9" s="4960"/>
      <c r="BM9" s="6292"/>
      <c r="BN9" s="5532"/>
      <c r="BO9" s="6292"/>
      <c r="BP9" s="5532"/>
      <c r="BQ9" s="3790"/>
      <c r="BR9" s="5178"/>
      <c r="BS9" s="5178"/>
      <c r="BT9" s="5178"/>
      <c r="BU9" s="4960"/>
      <c r="BV9" s="6292"/>
      <c r="BW9" s="5532"/>
      <c r="BX9" s="6292"/>
      <c r="BY9" s="5532"/>
      <c r="BZ9" s="3790"/>
      <c r="CA9" s="5178"/>
      <c r="CB9" s="5178"/>
      <c r="CC9" s="5178"/>
      <c r="CD9" s="4960"/>
      <c r="CE9" s="6292"/>
      <c r="CF9" s="5532"/>
      <c r="CG9" s="6292"/>
      <c r="CH9" s="5532"/>
      <c r="CI9" s="3790"/>
      <c r="CJ9" s="5178"/>
      <c r="CK9" s="5178"/>
      <c r="CL9" s="5178"/>
      <c r="CM9" s="4960"/>
      <c r="CN9" s="6292"/>
      <c r="CO9" s="5532"/>
      <c r="CP9" s="6292"/>
      <c r="CQ9" s="5532"/>
      <c r="CR9" s="3790"/>
      <c r="CS9" s="5178"/>
      <c r="CT9" s="5178"/>
      <c r="CU9" s="5178"/>
      <c r="CV9" s="4960"/>
      <c r="CW9" s="6292"/>
      <c r="CX9" s="5532"/>
      <c r="CY9" s="6292"/>
      <c r="CZ9" s="5532"/>
      <c r="DA9" s="390"/>
      <c r="DB9" s="2318" t="s">
        <v>463</v>
      </c>
      <c r="DD9" s="565"/>
      <c r="DE9" s="565"/>
      <c r="DF9" s="565"/>
      <c r="DG9" s="565"/>
      <c r="DH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790"/>
      <c r="AQ10" s="3790"/>
      <c r="AR10" s="3790"/>
      <c r="AS10" s="3790"/>
      <c r="AT10" s="4965" t="str">
        <f>AU8&amp;"-"&amp;AW8</f>
        <v>-</v>
      </c>
      <c r="AU10" s="6292"/>
      <c r="AV10" s="5532"/>
      <c r="AW10" s="6292"/>
      <c r="AX10" s="5532"/>
      <c r="AY10" s="3790"/>
      <c r="AZ10" s="3790"/>
      <c r="BA10" s="3790"/>
      <c r="BB10" s="3790"/>
      <c r="BC10" s="4965" t="str">
        <f>BD8&amp;"-"&amp;BF8</f>
        <v>-</v>
      </c>
      <c r="BD10" s="6292"/>
      <c r="BE10" s="5532"/>
      <c r="BF10" s="6292"/>
      <c r="BG10" s="5532"/>
      <c r="BH10" s="3790"/>
      <c r="BI10" s="3790"/>
      <c r="BJ10" s="3790"/>
      <c r="BK10" s="3790"/>
      <c r="BL10" s="4965" t="str">
        <f>BM8&amp;"-"&amp;BO8</f>
        <v>-</v>
      </c>
      <c r="BM10" s="6292"/>
      <c r="BN10" s="5532"/>
      <c r="BO10" s="6292"/>
      <c r="BP10" s="5532"/>
      <c r="BQ10" s="3790"/>
      <c r="BR10" s="3790"/>
      <c r="BS10" s="3790"/>
      <c r="BT10" s="3790"/>
      <c r="BU10" s="4965" t="str">
        <f>BV8&amp;"-"&amp;BX8</f>
        <v>-</v>
      </c>
      <c r="BV10" s="6292"/>
      <c r="BW10" s="5532"/>
      <c r="BX10" s="6292"/>
      <c r="BY10" s="5532"/>
      <c r="BZ10" s="3790"/>
      <c r="CA10" s="3790"/>
      <c r="CB10" s="3790"/>
      <c r="CC10" s="3790"/>
      <c r="CD10" s="4965" t="str">
        <f>CE8&amp;"-"&amp;CG8</f>
        <v>-</v>
      </c>
      <c r="CE10" s="6292"/>
      <c r="CF10" s="5532"/>
      <c r="CG10" s="6292"/>
      <c r="CH10" s="5532"/>
      <c r="CI10" s="3790"/>
      <c r="CJ10" s="3790"/>
      <c r="CK10" s="3790"/>
      <c r="CL10" s="3790"/>
      <c r="CM10" s="4965" t="str">
        <f>CN8&amp;"-"&amp;CP8</f>
        <v>-</v>
      </c>
      <c r="CN10" s="6292"/>
      <c r="CO10" s="5532"/>
      <c r="CP10" s="6292"/>
      <c r="CQ10" s="5532"/>
      <c r="CR10" s="3790"/>
      <c r="CS10" s="3790"/>
      <c r="CT10" s="3790"/>
      <c r="CU10" s="3790"/>
      <c r="CV10" s="4965" t="str">
        <f>CW8&amp;"-"&amp;CY8</f>
        <v>-</v>
      </c>
      <c r="CW10" s="6292"/>
      <c r="CX10" s="5532"/>
      <c r="CY10" s="6292"/>
      <c r="CZ10" s="5532"/>
      <c r="DA10" s="390"/>
      <c r="DB10" s="2319"/>
      <c r="DD10" s="565"/>
      <c r="DE10" s="565" t="str">
        <f>IF(V10="","",V10)</f>
        <v/>
      </c>
      <c r="DF10" s="565"/>
      <c r="DG10" s="565"/>
      <c r="DH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464</v>
      </c>
      <c r="W11" s="1457"/>
      <c r="X11" s="1458"/>
      <c r="Y11" s="1458"/>
      <c r="Z11" s="1458"/>
      <c r="AA11" s="1458"/>
      <c r="AB11" s="1459"/>
      <c r="AC11" s="2374"/>
      <c r="AD11" s="2172"/>
      <c r="AE11" s="2374"/>
      <c r="AF11" s="2172"/>
      <c r="AG11" s="1458"/>
      <c r="AH11" s="1458"/>
      <c r="AI11" s="1458"/>
      <c r="AJ11" s="1458"/>
      <c r="AK11" s="1459"/>
      <c r="AL11" s="2374"/>
      <c r="AM11" s="2172"/>
      <c r="AN11" s="2374"/>
      <c r="AO11" s="2172"/>
      <c r="AP11" s="6559"/>
      <c r="AQ11" s="6560"/>
      <c r="AR11" s="6561"/>
      <c r="AS11" s="6562"/>
      <c r="AT11" s="6563"/>
      <c r="AU11" s="6292"/>
      <c r="AV11" s="5532"/>
      <c r="AW11" s="6292"/>
      <c r="AX11" s="5532"/>
      <c r="AY11" s="6564"/>
      <c r="AZ11" s="6565"/>
      <c r="BA11" s="6566"/>
      <c r="BB11" s="6567"/>
      <c r="BC11" s="6568"/>
      <c r="BD11" s="6292"/>
      <c r="BE11" s="5532"/>
      <c r="BF11" s="6292"/>
      <c r="BG11" s="5532"/>
      <c r="BH11" s="6569"/>
      <c r="BI11" s="6570"/>
      <c r="BJ11" s="6571"/>
      <c r="BK11" s="6572"/>
      <c r="BL11" s="6573"/>
      <c r="BM11" s="6292"/>
      <c r="BN11" s="5532"/>
      <c r="BO11" s="6292"/>
      <c r="BP11" s="5532"/>
      <c r="BQ11" s="6574"/>
      <c r="BR11" s="6575"/>
      <c r="BS11" s="6576"/>
      <c r="BT11" s="6577"/>
      <c r="BU11" s="6578"/>
      <c r="BV11" s="6292"/>
      <c r="BW11" s="5532"/>
      <c r="BX11" s="6292"/>
      <c r="BY11" s="5532"/>
      <c r="BZ11" s="6579"/>
      <c r="CA11" s="6580"/>
      <c r="CB11" s="6581"/>
      <c r="CC11" s="6582"/>
      <c r="CD11" s="6583"/>
      <c r="CE11" s="6292"/>
      <c r="CF11" s="5532"/>
      <c r="CG11" s="6292"/>
      <c r="CH11" s="5532"/>
      <c r="CI11" s="6584"/>
      <c r="CJ11" s="6585"/>
      <c r="CK11" s="6586"/>
      <c r="CL11" s="6587"/>
      <c r="CM11" s="6588"/>
      <c r="CN11" s="6292"/>
      <c r="CO11" s="5532"/>
      <c r="CP11" s="6292"/>
      <c r="CQ11" s="5532"/>
      <c r="CR11" s="6589"/>
      <c r="CS11" s="6590"/>
      <c r="CT11" s="6591"/>
      <c r="CU11" s="6592"/>
      <c r="CV11" s="6593"/>
      <c r="CW11" s="6292"/>
      <c r="CX11" s="5532"/>
      <c r="CY11" s="6292"/>
      <c r="CZ11" s="5532"/>
      <c r="DA11" s="1460"/>
      <c r="DB11" s="2319"/>
      <c r="DD11" s="565"/>
      <c r="DE11" s="565"/>
      <c r="DF11" s="565"/>
      <c r="DG11" s="565"/>
      <c r="DH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420</v>
      </c>
      <c r="W12" s="432"/>
      <c r="X12" s="432"/>
      <c r="Y12" s="432"/>
      <c r="Z12" s="432"/>
      <c r="AA12" s="432"/>
      <c r="AB12" s="432"/>
      <c r="AC12" s="1473"/>
      <c r="AD12" s="1473"/>
      <c r="AE12" s="1473"/>
      <c r="AF12" s="1473"/>
      <c r="AG12" s="432"/>
      <c r="AH12" s="432"/>
      <c r="AI12" s="432"/>
      <c r="AJ12" s="432"/>
      <c r="AK12" s="432"/>
      <c r="AL12" s="432"/>
      <c r="AM12" s="432"/>
      <c r="AN12" s="432"/>
      <c r="AO12" s="432"/>
      <c r="AP12" s="6594"/>
      <c r="AQ12" s="6595"/>
      <c r="AR12" s="6596"/>
      <c r="AS12" s="6597"/>
      <c r="AT12" s="6598"/>
      <c r="AU12" s="6599"/>
      <c r="AV12" s="6600"/>
      <c r="AW12" s="6601"/>
      <c r="AX12" s="6602"/>
      <c r="AY12" s="6603"/>
      <c r="AZ12" s="6604"/>
      <c r="BA12" s="6605"/>
      <c r="BB12" s="6606"/>
      <c r="BC12" s="6607"/>
      <c r="BD12" s="6608"/>
      <c r="BE12" s="6609"/>
      <c r="BF12" s="6610"/>
      <c r="BG12" s="6611"/>
      <c r="BH12" s="6612"/>
      <c r="BI12" s="6613"/>
      <c r="BJ12" s="6614"/>
      <c r="BK12" s="6615"/>
      <c r="BL12" s="6616"/>
      <c r="BM12" s="6617"/>
      <c r="BN12" s="6618"/>
      <c r="BO12" s="6619"/>
      <c r="BP12" s="6620"/>
      <c r="BQ12" s="6621"/>
      <c r="BR12" s="6622"/>
      <c r="BS12" s="6623"/>
      <c r="BT12" s="6624"/>
      <c r="BU12" s="6625"/>
      <c r="BV12" s="6626"/>
      <c r="BW12" s="6627"/>
      <c r="BX12" s="6628"/>
      <c r="BY12" s="6629"/>
      <c r="BZ12" s="6630"/>
      <c r="CA12" s="6631"/>
      <c r="CB12" s="6632"/>
      <c r="CC12" s="6633"/>
      <c r="CD12" s="6634"/>
      <c r="CE12" s="6635"/>
      <c r="CF12" s="6636"/>
      <c r="CG12" s="6637"/>
      <c r="CH12" s="6638"/>
      <c r="CI12" s="6639"/>
      <c r="CJ12" s="6640"/>
      <c r="CK12" s="6641"/>
      <c r="CL12" s="6642"/>
      <c r="CM12" s="6643"/>
      <c r="CN12" s="6644"/>
      <c r="CO12" s="6645"/>
      <c r="CP12" s="6646"/>
      <c r="CQ12" s="6647"/>
      <c r="CR12" s="6648"/>
      <c r="CS12" s="6649"/>
      <c r="CT12" s="6650"/>
      <c r="CU12" s="6651"/>
      <c r="CV12" s="6652"/>
      <c r="CW12" s="6653"/>
      <c r="CX12" s="6654"/>
      <c r="CY12" s="6655"/>
      <c r="CZ12" s="7153"/>
      <c r="DA12" s="389"/>
      <c r="DB12" s="2320"/>
      <c r="DD12" s="565"/>
      <c r="DE12" s="565" t="str">
        <f>IF(V12="","",V12)</f>
        <v>Добавить вид теплоносителя (параметры теплоносителя)</v>
      </c>
      <c r="DF12" s="565"/>
      <c r="DG12" s="565"/>
      <c r="DH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421</v>
      </c>
      <c r="W13" s="432"/>
      <c r="X13" s="432"/>
      <c r="Y13" s="432"/>
      <c r="Z13" s="432"/>
      <c r="AA13" s="432"/>
      <c r="AB13" s="432"/>
      <c r="AC13" s="432"/>
      <c r="AD13" s="432"/>
      <c r="AE13" s="432"/>
      <c r="AF13" s="431"/>
      <c r="AG13" s="432"/>
      <c r="AH13" s="432"/>
      <c r="AI13" s="432"/>
      <c r="AJ13" s="432"/>
      <c r="AK13" s="432"/>
      <c r="AL13" s="432"/>
      <c r="AM13" s="432"/>
      <c r="AN13" s="432"/>
      <c r="AO13" s="431"/>
      <c r="AP13" s="6657"/>
      <c r="AQ13" s="6658"/>
      <c r="AR13" s="6659"/>
      <c r="AS13" s="6660"/>
      <c r="AT13" s="6661"/>
      <c r="AU13" s="6662"/>
      <c r="AV13" s="6663"/>
      <c r="AW13" s="6664"/>
      <c r="AX13" s="6665"/>
      <c r="AY13" s="6666"/>
      <c r="AZ13" s="6667"/>
      <c r="BA13" s="6668"/>
      <c r="BB13" s="6669"/>
      <c r="BC13" s="6670"/>
      <c r="BD13" s="6671"/>
      <c r="BE13" s="6672"/>
      <c r="BF13" s="6673"/>
      <c r="BG13" s="6674"/>
      <c r="BH13" s="6675"/>
      <c r="BI13" s="6676"/>
      <c r="BJ13" s="6677"/>
      <c r="BK13" s="6678"/>
      <c r="BL13" s="6679"/>
      <c r="BM13" s="6680"/>
      <c r="BN13" s="6681"/>
      <c r="BO13" s="6682"/>
      <c r="BP13" s="6683"/>
      <c r="BQ13" s="6684"/>
      <c r="BR13" s="6685"/>
      <c r="BS13" s="6686"/>
      <c r="BT13" s="6687"/>
      <c r="BU13" s="6688"/>
      <c r="BV13" s="6689"/>
      <c r="BW13" s="6690"/>
      <c r="BX13" s="6691"/>
      <c r="BY13" s="6692"/>
      <c r="BZ13" s="6693"/>
      <c r="CA13" s="6694"/>
      <c r="CB13" s="6695"/>
      <c r="CC13" s="6696"/>
      <c r="CD13" s="6697"/>
      <c r="CE13" s="6698"/>
      <c r="CF13" s="6699"/>
      <c r="CG13" s="6700"/>
      <c r="CH13" s="6701"/>
      <c r="CI13" s="6702"/>
      <c r="CJ13" s="6703"/>
      <c r="CK13" s="6704"/>
      <c r="CL13" s="6705"/>
      <c r="CM13" s="6706"/>
      <c r="CN13" s="6707"/>
      <c r="CO13" s="6708"/>
      <c r="CP13" s="6709"/>
      <c r="CQ13" s="6710"/>
      <c r="CR13" s="6711"/>
      <c r="CS13" s="6712"/>
      <c r="CT13" s="6713"/>
      <c r="CU13" s="6714"/>
      <c r="CV13" s="6715"/>
      <c r="CW13" s="6716"/>
      <c r="CX13" s="6717"/>
      <c r="CY13" s="6718"/>
      <c r="CZ13" s="7154"/>
      <c r="DA13" s="432"/>
      <c r="DB13" s="368"/>
      <c r="DD13" s="565"/>
      <c r="DE13" s="565" t="str">
        <f>IF(V13="","",V13)</f>
        <v>Добавить группу потребителей</v>
      </c>
      <c r="DF13" s="565"/>
      <c r="DG13" s="565"/>
      <c r="DH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4720"/>
      <c r="AQ14" s="4720"/>
      <c r="AR14" s="4720"/>
      <c r="AS14" s="4720"/>
      <c r="AT14" s="4720"/>
      <c r="AU14" s="4720"/>
      <c r="AV14" s="4720"/>
      <c r="AW14" s="4720"/>
      <c r="AX14" s="4720"/>
      <c r="AY14" s="4720"/>
      <c r="AZ14" s="4720"/>
      <c r="BA14" s="4720"/>
      <c r="BB14" s="4720"/>
      <c r="BC14" s="4720"/>
      <c r="BD14" s="4720"/>
      <c r="BE14" s="4720"/>
      <c r="BF14" s="4720"/>
      <c r="BG14" s="4720"/>
      <c r="BH14" s="4720"/>
      <c r="BI14" s="4720"/>
      <c r="BJ14" s="4720"/>
      <c r="BK14" s="4720"/>
      <c r="BL14" s="4720"/>
      <c r="BM14" s="4720"/>
      <c r="BN14" s="4720"/>
      <c r="BO14" s="4720"/>
      <c r="BP14" s="4720"/>
      <c r="BQ14" s="4720"/>
      <c r="BR14" s="4720"/>
      <c r="BS14" s="4720"/>
      <c r="BT14" s="4720"/>
      <c r="BU14" s="4720"/>
      <c r="BV14" s="4720"/>
      <c r="BW14" s="4720"/>
      <c r="BX14" s="4720"/>
      <c r="BY14" s="4720"/>
      <c r="BZ14" s="4720"/>
      <c r="CA14" s="4720"/>
      <c r="CB14" s="4720"/>
      <c r="CC14" s="4720"/>
      <c r="CD14" s="4720"/>
      <c r="CE14" s="4720"/>
      <c r="CF14" s="4720"/>
      <c r="CG14" s="4720"/>
      <c r="CH14" s="4720"/>
      <c r="CI14" s="4720"/>
      <c r="CJ14" s="4720"/>
      <c r="CK14" s="4720"/>
      <c r="CL14" s="4720"/>
      <c r="CM14" s="4720"/>
      <c r="CN14" s="4720"/>
      <c r="CO14" s="4720"/>
      <c r="CP14" s="4720"/>
      <c r="CQ14" s="4720"/>
      <c r="CR14" s="4720"/>
      <c r="CS14" s="4720"/>
      <c r="CT14" s="4720"/>
      <c r="CU14" s="4720"/>
      <c r="CV14" s="4720"/>
      <c r="CW14" s="4720"/>
      <c r="CX14" s="4720"/>
      <c r="CY14" s="4720"/>
      <c r="CZ14" s="4720"/>
      <c r="DA14" s="1453"/>
      <c r="DB14" s="1454"/>
      <c r="DD14" s="565"/>
      <c r="DE14" s="565" t="str">
        <f>IF(V14="","",V14)</f>
        <v/>
      </c>
      <c r="DF14" s="565"/>
      <c r="DG14" s="565"/>
      <c r="DH14" s="1220">
        <v>0</v>
      </c>
    </row>
    <row s="5305"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170</v>
      </c>
      <c r="W15" s="1385"/>
      <c r="X15" s="1385"/>
      <c r="Y15" s="1385"/>
      <c r="Z15" s="1385"/>
      <c r="AA15" s="1385"/>
      <c r="AB15" s="1385"/>
      <c r="AC15" s="1385"/>
      <c r="AD15" s="1385"/>
      <c r="AE15" s="1385"/>
      <c r="AF15" s="1385"/>
      <c r="AG15" s="1385"/>
      <c r="AH15" s="1385"/>
      <c r="AI15" s="1385"/>
      <c r="AJ15" s="1385"/>
      <c r="AK15" s="1385"/>
      <c r="AL15" s="1385"/>
      <c r="AM15" s="1385"/>
      <c r="AN15" s="1385"/>
      <c r="AO15" s="1385"/>
      <c r="AP15" s="3964"/>
      <c r="AQ15" s="3964"/>
      <c r="AR15" s="3964"/>
      <c r="AS15" s="3964"/>
      <c r="AT15" s="3964"/>
      <c r="AU15" s="3964"/>
      <c r="AV15" s="3964"/>
      <c r="AW15" s="3964"/>
      <c r="AX15" s="3964"/>
      <c r="AY15" s="3964"/>
      <c r="AZ15" s="3964"/>
      <c r="BA15" s="3964"/>
      <c r="BB15" s="3964"/>
      <c r="BC15" s="3964"/>
      <c r="BD15" s="3964"/>
      <c r="BE15" s="3964"/>
      <c r="BF15" s="3964"/>
      <c r="BG15" s="3964"/>
      <c r="BH15" s="3964"/>
      <c r="BI15" s="3964"/>
      <c r="BJ15" s="3964"/>
      <c r="BK15" s="3964"/>
      <c r="BL15" s="3964"/>
      <c r="BM15" s="3964"/>
      <c r="BN15" s="3964"/>
      <c r="BO15" s="3964"/>
      <c r="BP15" s="3964"/>
      <c r="BQ15" s="3964"/>
      <c r="BR15" s="3964"/>
      <c r="BS15" s="3964"/>
      <c r="BT15" s="3964"/>
      <c r="BU15" s="3964"/>
      <c r="BV15" s="3964"/>
      <c r="BW15" s="3964"/>
      <c r="BX15" s="3964"/>
      <c r="BY15" s="3964"/>
      <c r="BZ15" s="3964"/>
      <c r="CA15" s="3964"/>
      <c r="CB15" s="3964"/>
      <c r="CC15" s="3964"/>
      <c r="CD15" s="3964"/>
      <c r="CE15" s="3964"/>
      <c r="CF15" s="3964"/>
      <c r="CG15" s="3964"/>
      <c r="CH15" s="3964"/>
      <c r="CI15" s="3964"/>
      <c r="CJ15" s="3964"/>
      <c r="CK15" s="3964"/>
      <c r="CL15" s="3964"/>
      <c r="CM15" s="3964"/>
      <c r="CN15" s="3964"/>
      <c r="CO15" s="3964"/>
      <c r="CP15" s="3964"/>
      <c r="CQ15" s="3964"/>
      <c r="CR15" s="3964"/>
      <c r="CS15" s="3964"/>
      <c r="CT15" s="3964"/>
      <c r="CU15" s="3964"/>
      <c r="CV15" s="3964"/>
      <c r="CW15" s="3964"/>
      <c r="CX15" s="3964"/>
      <c r="CY15" s="3964"/>
      <c r="CZ15" s="3964"/>
      <c r="DA15" s="1385"/>
      <c r="DB15" s="1385"/>
      <c r="DD15" s="854"/>
      <c r="DE15" s="854" t="str">
        <f>IF(V15="","",V15)</f>
        <v>Добавить источник для дифференциации</v>
      </c>
      <c r="DF15" s="854"/>
      <c r="DG15" s="854"/>
      <c r="DH15" s="583">
        <v>0</v>
      </c>
    </row>
    <row s="5305"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171</v>
      </c>
      <c r="W16" s="1389"/>
      <c r="X16" s="1389"/>
      <c r="Y16" s="1389"/>
      <c r="Z16" s="1389"/>
      <c r="AA16" s="1389"/>
      <c r="AB16" s="1389"/>
      <c r="AC16" s="1389"/>
      <c r="AD16" s="1389"/>
      <c r="AE16" s="1389"/>
      <c r="AF16" s="1389"/>
      <c r="AG16" s="1389"/>
      <c r="AH16" s="1389"/>
      <c r="AI16" s="1389"/>
      <c r="AJ16" s="1389"/>
      <c r="AK16" s="1389"/>
      <c r="AL16" s="1389"/>
      <c r="AM16" s="1389"/>
      <c r="AN16" s="1389"/>
      <c r="AO16" s="1389"/>
      <c r="AP16" s="5555"/>
      <c r="AQ16" s="5555"/>
      <c r="AR16" s="5555"/>
      <c r="AS16" s="5555"/>
      <c r="AT16" s="5555"/>
      <c r="AU16" s="5555"/>
      <c r="AV16" s="5555"/>
      <c r="AW16" s="5555"/>
      <c r="AX16" s="5555"/>
      <c r="AY16" s="5555"/>
      <c r="AZ16" s="5555"/>
      <c r="BA16" s="5555"/>
      <c r="BB16" s="5555"/>
      <c r="BC16" s="5555"/>
      <c r="BD16" s="5555"/>
      <c r="BE16" s="5555"/>
      <c r="BF16" s="5555"/>
      <c r="BG16" s="5555"/>
      <c r="BH16" s="5555"/>
      <c r="BI16" s="5555"/>
      <c r="BJ16" s="5555"/>
      <c r="BK16" s="5555"/>
      <c r="BL16" s="5555"/>
      <c r="BM16" s="5555"/>
      <c r="BN16" s="5555"/>
      <c r="BO16" s="5555"/>
      <c r="BP16" s="5555"/>
      <c r="BQ16" s="5555"/>
      <c r="BR16" s="5555"/>
      <c r="BS16" s="5555"/>
      <c r="BT16" s="5555"/>
      <c r="BU16" s="5555"/>
      <c r="BV16" s="5555"/>
      <c r="BW16" s="5555"/>
      <c r="BX16" s="5555"/>
      <c r="BY16" s="5555"/>
      <c r="BZ16" s="5555"/>
      <c r="CA16" s="5555"/>
      <c r="CB16" s="5555"/>
      <c r="CC16" s="5555"/>
      <c r="CD16" s="5555"/>
      <c r="CE16" s="5555"/>
      <c r="CF16" s="5555"/>
      <c r="CG16" s="5555"/>
      <c r="CH16" s="5555"/>
      <c r="CI16" s="5555"/>
      <c r="CJ16" s="5555"/>
      <c r="CK16" s="5555"/>
      <c r="CL16" s="5555"/>
      <c r="CM16" s="5555"/>
      <c r="CN16" s="5555"/>
      <c r="CO16" s="5555"/>
      <c r="CP16" s="5555"/>
      <c r="CQ16" s="5555"/>
      <c r="CR16" s="5555"/>
      <c r="CS16" s="5555"/>
      <c r="CT16" s="5555"/>
      <c r="CU16" s="5555"/>
      <c r="CV16" s="5555"/>
      <c r="CW16" s="5555"/>
      <c r="CX16" s="5555"/>
      <c r="CY16" s="5555"/>
      <c r="CZ16" s="5555"/>
      <c r="DA16" s="1389"/>
      <c r="DB16" s="1389"/>
      <c r="DD16" s="854"/>
      <c r="DE16" s="854" t="str">
        <f>IF(V16="","",V16)</f>
        <v>Добавить централизованную систему для дифференциации</v>
      </c>
      <c r="DF16" s="854"/>
      <c r="DG16" s="854"/>
      <c r="DH16" s="583">
        <v>0</v>
      </c>
    </row>
    <row s="5305"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172</v>
      </c>
      <c r="W17" s="1389"/>
      <c r="X17" s="1389"/>
      <c r="Y17" s="1389"/>
      <c r="Z17" s="1389"/>
      <c r="AA17" s="1389"/>
      <c r="AB17" s="1389"/>
      <c r="AC17" s="1389"/>
      <c r="AD17" s="1389"/>
      <c r="AE17" s="1389"/>
      <c r="AF17" s="1389"/>
      <c r="AG17" s="1389"/>
      <c r="AH17" s="1389"/>
      <c r="AI17" s="1389"/>
      <c r="AJ17" s="1389"/>
      <c r="AK17" s="1389"/>
      <c r="AL17" s="1389"/>
      <c r="AM17" s="1389"/>
      <c r="AN17" s="1389"/>
      <c r="AO17" s="1389"/>
      <c r="AP17" s="5555"/>
      <c r="AQ17" s="5555"/>
      <c r="AR17" s="5555"/>
      <c r="AS17" s="5555"/>
      <c r="AT17" s="5555"/>
      <c r="AU17" s="5555"/>
      <c r="AV17" s="5555"/>
      <c r="AW17" s="5555"/>
      <c r="AX17" s="5555"/>
      <c r="AY17" s="5555"/>
      <c r="AZ17" s="5555"/>
      <c r="BA17" s="5555"/>
      <c r="BB17" s="5555"/>
      <c r="BC17" s="5555"/>
      <c r="BD17" s="5555"/>
      <c r="BE17" s="5555"/>
      <c r="BF17" s="5555"/>
      <c r="BG17" s="5555"/>
      <c r="BH17" s="5555"/>
      <c r="BI17" s="5555"/>
      <c r="BJ17" s="5555"/>
      <c r="BK17" s="5555"/>
      <c r="BL17" s="5555"/>
      <c r="BM17" s="5555"/>
      <c r="BN17" s="5555"/>
      <c r="BO17" s="5555"/>
      <c r="BP17" s="5555"/>
      <c r="BQ17" s="5555"/>
      <c r="BR17" s="5555"/>
      <c r="BS17" s="5555"/>
      <c r="BT17" s="5555"/>
      <c r="BU17" s="5555"/>
      <c r="BV17" s="5555"/>
      <c r="BW17" s="5555"/>
      <c r="BX17" s="5555"/>
      <c r="BY17" s="5555"/>
      <c r="BZ17" s="5555"/>
      <c r="CA17" s="5555"/>
      <c r="CB17" s="5555"/>
      <c r="CC17" s="5555"/>
      <c r="CD17" s="5555"/>
      <c r="CE17" s="5555"/>
      <c r="CF17" s="5555"/>
      <c r="CG17" s="5555"/>
      <c r="CH17" s="5555"/>
      <c r="CI17" s="5555"/>
      <c r="CJ17" s="5555"/>
      <c r="CK17" s="5555"/>
      <c r="CL17" s="5555"/>
      <c r="CM17" s="5555"/>
      <c r="CN17" s="5555"/>
      <c r="CO17" s="5555"/>
      <c r="CP17" s="5555"/>
      <c r="CQ17" s="5555"/>
      <c r="CR17" s="5555"/>
      <c r="CS17" s="5555"/>
      <c r="CT17" s="5555"/>
      <c r="CU17" s="5555"/>
      <c r="CV17" s="5555"/>
      <c r="CW17" s="5555"/>
      <c r="CX17" s="5555"/>
      <c r="CY17" s="5555"/>
      <c r="CZ17" s="5555"/>
      <c r="DA17" s="1389"/>
      <c r="DB17" s="1389"/>
      <c r="DD17" s="854"/>
      <c r="DE17" s="854" t="str">
        <f>IF(V17="","",V17)</f>
        <v>Добавить территорию для дифференциации</v>
      </c>
      <c r="DF17" s="854"/>
      <c r="DG17" s="854"/>
      <c r="DH17" s="583">
        <v>0</v>
      </c>
    </row>
    <row customHeight="1" ht="14.25" hidden="1">
      <c r="AF18" s="392"/>
      <c r="AO18" s="392"/>
      <c r="AP18" s="5796"/>
      <c r="AQ18" s="5796"/>
      <c r="AR18" s="5796"/>
      <c r="AS18" s="5796"/>
      <c r="AT18" s="5796"/>
      <c r="AU18" s="5796"/>
      <c r="AV18" s="5796"/>
      <c r="AW18" s="5796"/>
      <c r="AX18" s="5796"/>
      <c r="AY18" s="5796"/>
      <c r="AZ18" s="5796"/>
      <c r="BA18" s="5796"/>
      <c r="BB18" s="5796"/>
      <c r="BC18" s="5796"/>
      <c r="BD18" s="5796"/>
      <c r="BE18" s="5796"/>
      <c r="BF18" s="5796"/>
      <c r="BG18" s="5796"/>
      <c r="BH18" s="5796"/>
      <c r="BI18" s="5796"/>
      <c r="BJ18" s="5796"/>
      <c r="BK18" s="5796"/>
      <c r="BL18" s="5796"/>
      <c r="BM18" s="5796"/>
      <c r="BN18" s="5796"/>
      <c r="BO18" s="5796"/>
      <c r="BP18" s="5796"/>
      <c r="BQ18" s="5796"/>
      <c r="BR18" s="5796"/>
      <c r="BS18" s="5796"/>
      <c r="BT18" s="5796"/>
      <c r="BU18" s="5796"/>
      <c r="BV18" s="5796"/>
      <c r="BW18" s="5796"/>
      <c r="BX18" s="5796"/>
      <c r="BY18" s="5796"/>
      <c r="BZ18" s="5796"/>
      <c r="CA18" s="5796"/>
      <c r="CB18" s="5796"/>
      <c r="CC18" s="5796"/>
      <c r="CD18" s="5796"/>
      <c r="CE18" s="5796"/>
      <c r="CF18" s="5796"/>
      <c r="CG18" s="5796"/>
      <c r="CH18" s="5796"/>
      <c r="CI18" s="5796"/>
      <c r="CJ18" s="5796"/>
      <c r="CK18" s="5796"/>
      <c r="CL18" s="5796"/>
      <c r="CM18" s="5796"/>
      <c r="CN18" s="5796"/>
      <c r="CO18" s="5796"/>
      <c r="CP18" s="5796"/>
      <c r="CQ18" s="5796"/>
      <c r="CR18" s="5796"/>
      <c r="CS18" s="5796"/>
      <c r="CT18" s="5796"/>
      <c r="CU18" s="5796"/>
      <c r="CV18" s="5796"/>
      <c r="CW18" s="5796"/>
      <c r="CX18" s="5796"/>
      <c r="CY18" s="5796"/>
      <c r="CZ18" s="6520"/>
      <c r="DH18" s="1220">
        <v>0</v>
      </c>
    </row>
    <row customHeight="1" ht="14.25" hidden="1">
      <c r="AG19" s="1425"/>
      <c r="AH19" s="1425"/>
      <c r="AI19" s="1425"/>
      <c r="AJ19" s="1425"/>
      <c r="AK19" s="1426"/>
      <c r="AL19" s="2332"/>
      <c r="AM19" s="2333" t="s">
        <v>64</v>
      </c>
      <c r="AN19" s="2332"/>
      <c r="AO19" s="2333" t="s">
        <v>64</v>
      </c>
      <c r="AP19" s="5796"/>
      <c r="AQ19" s="5796"/>
      <c r="AR19" s="5796"/>
      <c r="AS19" s="5796"/>
      <c r="AT19" s="5796"/>
      <c r="AU19" s="5796"/>
      <c r="AV19" s="5796"/>
      <c r="AW19" s="5796"/>
      <c r="AX19" s="5796"/>
      <c r="AY19" s="5796"/>
      <c r="AZ19" s="5796"/>
      <c r="BA19" s="5796"/>
      <c r="BB19" s="5796"/>
      <c r="BC19" s="5796"/>
      <c r="BD19" s="5796"/>
      <c r="BE19" s="5796"/>
      <c r="BF19" s="5796"/>
      <c r="BG19" s="5796"/>
      <c r="BH19" s="5796"/>
      <c r="BI19" s="5796"/>
      <c r="BJ19" s="5796"/>
      <c r="BK19" s="5796"/>
      <c r="BL19" s="5796"/>
      <c r="BM19" s="5796"/>
      <c r="BN19" s="5796"/>
      <c r="BO19" s="5796"/>
      <c r="BP19" s="5796"/>
      <c r="BQ19" s="5796"/>
      <c r="BR19" s="5796"/>
      <c r="BS19" s="5796"/>
      <c r="BT19" s="5796"/>
      <c r="BU19" s="5796"/>
      <c r="BV19" s="5796"/>
      <c r="BW19" s="5796"/>
      <c r="BX19" s="5796"/>
      <c r="BY19" s="5796"/>
      <c r="BZ19" s="5796"/>
      <c r="CA19" s="5796"/>
      <c r="CB19" s="5796"/>
      <c r="CC19" s="5796"/>
      <c r="CD19" s="5796"/>
      <c r="CE19" s="5796"/>
      <c r="CF19" s="5796"/>
      <c r="CG19" s="5796"/>
      <c r="CH19" s="5796"/>
      <c r="CI19" s="5796"/>
      <c r="CJ19" s="5796"/>
      <c r="CK19" s="5796"/>
      <c r="CL19" s="5796"/>
      <c r="CM19" s="5796"/>
      <c r="CN19" s="5796"/>
      <c r="CO19" s="5796"/>
      <c r="CP19" s="5796"/>
      <c r="CQ19" s="5796"/>
      <c r="CR19" s="5796"/>
      <c r="CS19" s="5796"/>
      <c r="CT19" s="5796"/>
      <c r="CU19" s="5796"/>
      <c r="CV19" s="5796"/>
      <c r="CW19" s="5796"/>
      <c r="CX19" s="5796"/>
      <c r="CY19" s="5796"/>
      <c r="CZ19" s="6520"/>
      <c r="DH19" s="1220">
        <v>0</v>
      </c>
    </row>
    <row customHeight="1" ht="14.25" hidden="1">
      <c r="AG20" s="1425"/>
      <c r="AH20" s="1425"/>
      <c r="AI20" s="1425"/>
      <c r="AJ20" s="1425"/>
      <c r="AK20" s="1426"/>
      <c r="AL20" s="2332"/>
      <c r="AM20" s="2333"/>
      <c r="AN20" s="2332"/>
      <c r="AO20" s="2333"/>
      <c r="AP20" s="5796"/>
      <c r="AQ20" s="5796"/>
      <c r="AR20" s="5796"/>
      <c r="AS20" s="5796"/>
      <c r="AT20" s="5796"/>
      <c r="AU20" s="5796"/>
      <c r="AV20" s="5796"/>
      <c r="AW20" s="5796"/>
      <c r="AX20" s="5796"/>
      <c r="AY20" s="5796"/>
      <c r="AZ20" s="5796"/>
      <c r="BA20" s="5796"/>
      <c r="BB20" s="5796"/>
      <c r="BC20" s="5796"/>
      <c r="BD20" s="5796"/>
      <c r="BE20" s="5796"/>
      <c r="BF20" s="5796"/>
      <c r="BG20" s="5796"/>
      <c r="BH20" s="5796"/>
      <c r="BI20" s="5796"/>
      <c r="BJ20" s="5796"/>
      <c r="BK20" s="5796"/>
      <c r="BL20" s="5796"/>
      <c r="BM20" s="5796"/>
      <c r="BN20" s="5796"/>
      <c r="BO20" s="5796"/>
      <c r="BP20" s="5796"/>
      <c r="BQ20" s="5796"/>
      <c r="BR20" s="5796"/>
      <c r="BS20" s="5796"/>
      <c r="BT20" s="5796"/>
      <c r="BU20" s="5796"/>
      <c r="BV20" s="5796"/>
      <c r="BW20" s="5796"/>
      <c r="BX20" s="5796"/>
      <c r="BY20" s="5796"/>
      <c r="BZ20" s="5796"/>
      <c r="CA20" s="5796"/>
      <c r="CB20" s="5796"/>
      <c r="CC20" s="5796"/>
      <c r="CD20" s="5796"/>
      <c r="CE20" s="5796"/>
      <c r="CF20" s="5796"/>
      <c r="CG20" s="5796"/>
      <c r="CH20" s="5796"/>
      <c r="CI20" s="5796"/>
      <c r="CJ20" s="5796"/>
      <c r="CK20" s="5796"/>
      <c r="CL20" s="5796"/>
      <c r="CM20" s="5796"/>
      <c r="CN20" s="5796"/>
      <c r="CO20" s="5796"/>
      <c r="CP20" s="5796"/>
      <c r="CQ20" s="5796"/>
      <c r="CR20" s="5796"/>
      <c r="CS20" s="5796"/>
      <c r="CT20" s="5796"/>
      <c r="CU20" s="5796"/>
      <c r="CV20" s="5796"/>
      <c r="CW20" s="5796"/>
      <c r="CX20" s="5796"/>
      <c r="CY20" s="5796"/>
      <c r="CZ20" s="6520"/>
      <c r="DH20" s="1220">
        <v>0</v>
      </c>
    </row>
    <row customHeight="1" ht="14.25" hidden="1">
      <c r="AG21" s="1425"/>
      <c r="AH21" s="1425"/>
      <c r="AI21" s="1425"/>
      <c r="AJ21" s="1425"/>
      <c r="AK21" s="1426"/>
      <c r="AL21" s="2332"/>
      <c r="AM21" s="2333"/>
      <c r="AN21" s="2332"/>
      <c r="AO21" s="2333"/>
      <c r="AP21" s="5796"/>
      <c r="AQ21" s="5796"/>
      <c r="AR21" s="5796"/>
      <c r="AS21" s="5796"/>
      <c r="AT21" s="5796"/>
      <c r="AU21" s="5796"/>
      <c r="AV21" s="5796"/>
      <c r="AW21" s="5796"/>
      <c r="AX21" s="5796"/>
      <c r="AY21" s="5796"/>
      <c r="AZ21" s="5796"/>
      <c r="BA21" s="5796"/>
      <c r="BB21" s="5796"/>
      <c r="BC21" s="5796"/>
      <c r="BD21" s="5796"/>
      <c r="BE21" s="5796"/>
      <c r="BF21" s="5796"/>
      <c r="BG21" s="5796"/>
      <c r="BH21" s="5796"/>
      <c r="BI21" s="5796"/>
      <c r="BJ21" s="5796"/>
      <c r="BK21" s="5796"/>
      <c r="BL21" s="5796"/>
      <c r="BM21" s="5796"/>
      <c r="BN21" s="5796"/>
      <c r="BO21" s="5796"/>
      <c r="BP21" s="5796"/>
      <c r="BQ21" s="5796"/>
      <c r="BR21" s="5796"/>
      <c r="BS21" s="5796"/>
      <c r="BT21" s="5796"/>
      <c r="BU21" s="5796"/>
      <c r="BV21" s="5796"/>
      <c r="BW21" s="5796"/>
      <c r="BX21" s="5796"/>
      <c r="BY21" s="5796"/>
      <c r="BZ21" s="5796"/>
      <c r="CA21" s="5796"/>
      <c r="CB21" s="5796"/>
      <c r="CC21" s="5796"/>
      <c r="CD21" s="5796"/>
      <c r="CE21" s="5796"/>
      <c r="CF21" s="5796"/>
      <c r="CG21" s="5796"/>
      <c r="CH21" s="5796"/>
      <c r="CI21" s="5796"/>
      <c r="CJ21" s="5796"/>
      <c r="CK21" s="5796"/>
      <c r="CL21" s="5796"/>
      <c r="CM21" s="5796"/>
      <c r="CN21" s="5796"/>
      <c r="CO21" s="5796"/>
      <c r="CP21" s="5796"/>
      <c r="CQ21" s="5796"/>
      <c r="CR21" s="5796"/>
      <c r="CS21" s="5796"/>
      <c r="CT21" s="5796"/>
      <c r="CU21" s="5796"/>
      <c r="CV21" s="5796"/>
      <c r="CW21" s="5796"/>
      <c r="CX21" s="5796"/>
      <c r="CY21" s="5796"/>
      <c r="CZ21" s="6520"/>
      <c r="DH21" s="1220">
        <v>0</v>
      </c>
    </row>
    <row customHeight="1" ht="14.25" hidden="1">
      <c r="AG22" s="1425"/>
      <c r="AH22" s="1425"/>
      <c r="AI22" s="1425"/>
      <c r="AJ22" s="1425"/>
      <c r="AK22" s="393" t="str">
        <f>AL19&amp;"-"&amp;AN19</f>
        <v>-</v>
      </c>
      <c r="AL22" s="2333"/>
      <c r="AM22" s="2333"/>
      <c r="AN22" s="2333"/>
      <c r="AO22" s="2333"/>
      <c r="AP22" s="5796"/>
      <c r="AQ22" s="5796"/>
      <c r="AR22" s="5796"/>
      <c r="AS22" s="5796"/>
      <c r="AT22" s="5796"/>
      <c r="AU22" s="5796"/>
      <c r="AV22" s="5796"/>
      <c r="AW22" s="5796"/>
      <c r="AX22" s="5796"/>
      <c r="AY22" s="5796"/>
      <c r="AZ22" s="5796"/>
      <c r="BA22" s="5796"/>
      <c r="BB22" s="5796"/>
      <c r="BC22" s="5796"/>
      <c r="BD22" s="5796"/>
      <c r="BE22" s="5796"/>
      <c r="BF22" s="5796"/>
      <c r="BG22" s="5796"/>
      <c r="BH22" s="5796"/>
      <c r="BI22" s="5796"/>
      <c r="BJ22" s="5796"/>
      <c r="BK22" s="5796"/>
      <c r="BL22" s="5796"/>
      <c r="BM22" s="5796"/>
      <c r="BN22" s="5796"/>
      <c r="BO22" s="5796"/>
      <c r="BP22" s="5796"/>
      <c r="BQ22" s="5796"/>
      <c r="BR22" s="5796"/>
      <c r="BS22" s="5796"/>
      <c r="BT22" s="5796"/>
      <c r="BU22" s="5796"/>
      <c r="BV22" s="5796"/>
      <c r="BW22" s="5796"/>
      <c r="BX22" s="5796"/>
      <c r="BY22" s="5796"/>
      <c r="BZ22" s="5796"/>
      <c r="CA22" s="5796"/>
      <c r="CB22" s="5796"/>
      <c r="CC22" s="5796"/>
      <c r="CD22" s="5796"/>
      <c r="CE22" s="5796"/>
      <c r="CF22" s="5796"/>
      <c r="CG22" s="5796"/>
      <c r="CH22" s="5796"/>
      <c r="CI22" s="5796"/>
      <c r="CJ22" s="5796"/>
      <c r="CK22" s="5796"/>
      <c r="CL22" s="5796"/>
      <c r="CM22" s="5796"/>
      <c r="CN22" s="5796"/>
      <c r="CO22" s="5796"/>
      <c r="CP22" s="5796"/>
      <c r="CQ22" s="5796"/>
      <c r="CR22" s="5796"/>
      <c r="CS22" s="5796"/>
      <c r="CT22" s="5796"/>
      <c r="CU22" s="5796"/>
      <c r="CV22" s="5796"/>
      <c r="CW22" s="5796"/>
      <c r="CX22" s="5796"/>
      <c r="CY22" s="5796"/>
      <c r="CZ22" s="6520"/>
      <c r="DH22" s="1220">
        <v>0</v>
      </c>
    </row>
    <row customHeight="1" ht="14.25" hidden="1">
      <c r="AO23" s="392"/>
      <c r="AP23" s="5796"/>
      <c r="AQ23" s="5796"/>
      <c r="AR23" s="5796"/>
      <c r="AS23" s="5796"/>
      <c r="AT23" s="5796"/>
      <c r="AU23" s="5796"/>
      <c r="AV23" s="5796"/>
      <c r="AW23" s="5796"/>
      <c r="AX23" s="5796"/>
      <c r="AY23" s="5796"/>
      <c r="AZ23" s="5796"/>
      <c r="BA23" s="5796"/>
      <c r="BB23" s="5796"/>
      <c r="BC23" s="5796"/>
      <c r="BD23" s="5796"/>
      <c r="BE23" s="5796"/>
      <c r="BF23" s="5796"/>
      <c r="BG23" s="5796"/>
      <c r="BH23" s="5796"/>
      <c r="BI23" s="5796"/>
      <c r="BJ23" s="5796"/>
      <c r="BK23" s="5796"/>
      <c r="BL23" s="5796"/>
      <c r="BM23" s="5796"/>
      <c r="BN23" s="5796"/>
      <c r="BO23" s="5796"/>
      <c r="BP23" s="5796"/>
      <c r="BQ23" s="5796"/>
      <c r="BR23" s="5796"/>
      <c r="BS23" s="5796"/>
      <c r="BT23" s="5796"/>
      <c r="BU23" s="5796"/>
      <c r="BV23" s="5796"/>
      <c r="BW23" s="5796"/>
      <c r="BX23" s="5796"/>
      <c r="BY23" s="5796"/>
      <c r="BZ23" s="5796"/>
      <c r="CA23" s="5796"/>
      <c r="CB23" s="5796"/>
      <c r="CC23" s="5796"/>
      <c r="CD23" s="5796"/>
      <c r="CE23" s="5796"/>
      <c r="CF23" s="5796"/>
      <c r="CG23" s="5796"/>
      <c r="CH23" s="5796"/>
      <c r="CI23" s="5796"/>
      <c r="CJ23" s="5796"/>
      <c r="CK23" s="5796"/>
      <c r="CL23" s="5796"/>
      <c r="CM23" s="5796"/>
      <c r="CN23" s="5796"/>
      <c r="CO23" s="5796"/>
      <c r="CP23" s="5796"/>
      <c r="CQ23" s="5796"/>
      <c r="CR23" s="5796"/>
      <c r="CS23" s="5796"/>
      <c r="CT23" s="5796"/>
      <c r="CU23" s="5796"/>
      <c r="CV23" s="5796"/>
      <c r="CW23" s="5796"/>
      <c r="CX23" s="5796"/>
      <c r="CY23" s="5796"/>
      <c r="CZ23" s="6520"/>
      <c r="DH23" s="1220">
        <v>0</v>
      </c>
    </row>
    <row s="5745" customFormat="1" customHeight="1" ht="22.5" hidden="1">
      <c r="A24" s="1220"/>
      <c r="B24" s="1220"/>
      <c r="C24" s="1220"/>
      <c r="D24" s="1220"/>
      <c r="E24" s="1220"/>
      <c r="F24" s="1220"/>
      <c r="G24" s="1220"/>
      <c r="H24" s="1220"/>
      <c r="I24" s="1220"/>
      <c r="J24" s="1220"/>
      <c r="K24" s="1220"/>
      <c r="L24" s="1220"/>
      <c r="M24" s="1392"/>
      <c r="N24" s="1393"/>
      <c r="O24" s="1393"/>
      <c r="P24" s="1410" t="s">
        <v>423</v>
      </c>
      <c r="Q24" s="1427"/>
      <c r="R24" s="1436"/>
      <c r="S24" s="1436"/>
      <c r="T24" s="1436"/>
      <c r="U24" s="794"/>
      <c r="AC24" s="1432"/>
      <c r="AE24" s="1432"/>
      <c r="AF24" s="1431"/>
      <c r="AL24" s="1432"/>
      <c r="AN24" s="1432"/>
      <c r="AO24" s="1431"/>
      <c r="AP24" s="5745"/>
      <c r="AQ24" s="5745"/>
      <c r="AR24" s="5745"/>
      <c r="AS24" s="5745"/>
      <c r="AT24" s="5745"/>
      <c r="AU24" s="3967"/>
      <c r="AV24" s="5745"/>
      <c r="AW24" s="3967"/>
      <c r="AX24" s="5745"/>
      <c r="AY24" s="5745"/>
      <c r="AZ24" s="5745"/>
      <c r="BA24" s="5745"/>
      <c r="BB24" s="5745"/>
      <c r="BC24" s="5745"/>
      <c r="BD24" s="3967"/>
      <c r="BE24" s="5745"/>
      <c r="BF24" s="3967"/>
      <c r="BG24" s="5745"/>
      <c r="BH24" s="5745"/>
      <c r="BI24" s="5745"/>
      <c r="BJ24" s="5745"/>
      <c r="BK24" s="5745"/>
      <c r="BL24" s="5745"/>
      <c r="BM24" s="3967"/>
      <c r="BN24" s="5745"/>
      <c r="BO24" s="3967"/>
      <c r="BP24" s="5745"/>
      <c r="BQ24" s="5745"/>
      <c r="BR24" s="5745"/>
      <c r="BS24" s="5745"/>
      <c r="BT24" s="5745"/>
      <c r="BU24" s="5745"/>
      <c r="BV24" s="3967"/>
      <c r="BW24" s="5745"/>
      <c r="BX24" s="3967"/>
      <c r="BY24" s="5745"/>
      <c r="BZ24" s="5745"/>
      <c r="CA24" s="5745"/>
      <c r="CB24" s="5745"/>
      <c r="CC24" s="5745"/>
      <c r="CD24" s="5745"/>
      <c r="CE24" s="3967"/>
      <c r="CF24" s="5745"/>
      <c r="CG24" s="3967"/>
      <c r="CH24" s="5745"/>
      <c r="CI24" s="5745"/>
      <c r="CJ24" s="5745"/>
      <c r="CK24" s="5745"/>
      <c r="CL24" s="5745"/>
      <c r="CM24" s="5745"/>
      <c r="CN24" s="3967"/>
      <c r="CO24" s="5745"/>
      <c r="CP24" s="3967"/>
      <c r="CQ24" s="5745"/>
      <c r="CR24" s="5745"/>
      <c r="CS24" s="5745"/>
      <c r="CT24" s="5745"/>
      <c r="CU24" s="5745"/>
      <c r="CV24" s="5745"/>
      <c r="CW24" s="3967"/>
      <c r="CX24" s="5745"/>
      <c r="CY24" s="3967"/>
      <c r="CZ24" s="6529"/>
      <c r="DC24" s="576"/>
      <c r="DD24" s="576"/>
      <c r="DE24" s="576"/>
      <c r="DF24" s="576"/>
      <c r="DG24" s="576"/>
      <c r="DH24" s="1225">
        <v>0</v>
      </c>
    </row>
    <row s="5745"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P25" s="5745"/>
      <c r="AQ25" s="5745"/>
      <c r="AR25" s="5745"/>
      <c r="AS25" s="5745"/>
      <c r="AT25" s="5745"/>
      <c r="AU25" s="5745"/>
      <c r="AV25" s="5745"/>
      <c r="AW25" s="5745"/>
      <c r="AX25" s="5745"/>
      <c r="AY25" s="5745"/>
      <c r="AZ25" s="5745"/>
      <c r="BA25" s="5745"/>
      <c r="BB25" s="5745"/>
      <c r="BC25" s="5745"/>
      <c r="BD25" s="5745"/>
      <c r="BE25" s="5745"/>
      <c r="BF25" s="5745"/>
      <c r="BG25" s="5745"/>
      <c r="BH25" s="5745"/>
      <c r="BI25" s="5745"/>
      <c r="BJ25" s="5745"/>
      <c r="BK25" s="5745"/>
      <c r="BL25" s="5745"/>
      <c r="BM25" s="5745"/>
      <c r="BN25" s="5745"/>
      <c r="BO25" s="5745"/>
      <c r="BP25" s="5745"/>
      <c r="BQ25" s="5745"/>
      <c r="BR25" s="5745"/>
      <c r="BS25" s="5745"/>
      <c r="BT25" s="5745"/>
      <c r="BU25" s="5745"/>
      <c r="BV25" s="5745"/>
      <c r="BW25" s="5745"/>
      <c r="BX25" s="5745"/>
      <c r="BY25" s="5745"/>
      <c r="BZ25" s="5745"/>
      <c r="CA25" s="5745"/>
      <c r="CB25" s="5745"/>
      <c r="CC25" s="5745"/>
      <c r="CD25" s="5745"/>
      <c r="CE25" s="5745"/>
      <c r="CF25" s="5745"/>
      <c r="CG25" s="5745"/>
      <c r="CH25" s="5745"/>
      <c r="CI25" s="5745"/>
      <c r="CJ25" s="5745"/>
      <c r="CK25" s="5745"/>
      <c r="CL25" s="5745"/>
      <c r="CM25" s="5745"/>
      <c r="CN25" s="5745"/>
      <c r="CO25" s="5745"/>
      <c r="CP25" s="5745"/>
      <c r="CQ25" s="5745"/>
      <c r="CR25" s="5745"/>
      <c r="CS25" s="5745"/>
      <c r="CT25" s="5745"/>
      <c r="CU25" s="5745"/>
      <c r="CV25" s="5745"/>
      <c r="CW25" s="5745"/>
      <c r="CX25" s="5745"/>
      <c r="CY25" s="5745"/>
      <c r="CZ25" s="6529"/>
      <c r="DC25" s="576"/>
      <c r="DD25" s="576"/>
      <c r="DE25" s="576"/>
      <c r="DF25" s="576"/>
      <c r="DG25" s="576"/>
      <c r="DH25" s="1225">
        <v>0</v>
      </c>
    </row>
    <row s="5745" customFormat="1" customHeight="1" ht="14.25" hidden="1">
      <c r="A26" s="1220"/>
      <c r="B26" s="1220"/>
      <c r="C26" s="1220"/>
      <c r="D26" s="1220"/>
      <c r="E26" s="1220"/>
      <c r="F26" s="1220"/>
      <c r="G26" s="1220"/>
      <c r="H26" s="1220"/>
      <c r="I26" s="1220"/>
      <c r="J26" s="1220"/>
      <c r="K26" s="1220"/>
      <c r="L26" s="1220"/>
      <c r="M26" s="1392"/>
      <c r="N26" s="1393"/>
      <c r="O26" s="1393"/>
      <c r="P26" s="1375" t="s">
        <v>424</v>
      </c>
      <c r="Q26" s="1427"/>
      <c r="R26" s="1436"/>
      <c r="S26" s="1436"/>
      <c r="T26" s="1436"/>
      <c r="U26" s="794"/>
      <c r="V26" s="1225" t="s">
        <v>425</v>
      </c>
      <c r="AD26" s="251" t="s">
        <v>426</v>
      </c>
      <c r="AF26" s="251" t="s">
        <v>427</v>
      </c>
      <c r="AG26" s="1225" t="s">
        <v>425</v>
      </c>
      <c r="AM26" s="251" t="s">
        <v>428</v>
      </c>
      <c r="AO26" s="251" t="s">
        <v>427</v>
      </c>
      <c r="AP26" s="5745"/>
      <c r="AQ26" s="5745"/>
      <c r="AR26" s="5745"/>
      <c r="AS26" s="5745"/>
      <c r="AT26" s="5745"/>
      <c r="AU26" s="5745"/>
      <c r="AV26" s="3968" t="s">
        <v>426</v>
      </c>
      <c r="AW26" s="5745"/>
      <c r="AX26" s="3968" t="s">
        <v>427</v>
      </c>
      <c r="AY26" s="5745"/>
      <c r="AZ26" s="5745"/>
      <c r="BA26" s="5745"/>
      <c r="BB26" s="5745"/>
      <c r="BC26" s="5745"/>
      <c r="BD26" s="5745"/>
      <c r="BE26" s="3968" t="s">
        <v>426</v>
      </c>
      <c r="BF26" s="5745"/>
      <c r="BG26" s="3968" t="s">
        <v>427</v>
      </c>
      <c r="BH26" s="5745"/>
      <c r="BI26" s="5745"/>
      <c r="BJ26" s="5745"/>
      <c r="BK26" s="5745"/>
      <c r="BL26" s="5745"/>
      <c r="BM26" s="5745"/>
      <c r="BN26" s="3968" t="s">
        <v>426</v>
      </c>
      <c r="BO26" s="5745"/>
      <c r="BP26" s="3968" t="s">
        <v>427</v>
      </c>
      <c r="BQ26" s="5745"/>
      <c r="BR26" s="5745"/>
      <c r="BS26" s="5745"/>
      <c r="BT26" s="5745"/>
      <c r="BU26" s="5745"/>
      <c r="BV26" s="5745"/>
      <c r="BW26" s="3968" t="s">
        <v>426</v>
      </c>
      <c r="BX26" s="5745"/>
      <c r="BY26" s="3968" t="s">
        <v>427</v>
      </c>
      <c r="BZ26" s="5745"/>
      <c r="CA26" s="5745"/>
      <c r="CB26" s="5745"/>
      <c r="CC26" s="5745"/>
      <c r="CD26" s="5745"/>
      <c r="CE26" s="5745"/>
      <c r="CF26" s="3968" t="s">
        <v>426</v>
      </c>
      <c r="CG26" s="5745"/>
      <c r="CH26" s="3968" t="s">
        <v>427</v>
      </c>
      <c r="CI26" s="5745"/>
      <c r="CJ26" s="5745"/>
      <c r="CK26" s="5745"/>
      <c r="CL26" s="5745"/>
      <c r="CM26" s="5745"/>
      <c r="CN26" s="5745"/>
      <c r="CO26" s="3968" t="s">
        <v>426</v>
      </c>
      <c r="CP26" s="5745"/>
      <c r="CQ26" s="3968" t="s">
        <v>427</v>
      </c>
      <c r="CR26" s="5745"/>
      <c r="CS26" s="5745"/>
      <c r="CT26" s="5745"/>
      <c r="CU26" s="5745"/>
      <c r="CV26" s="5745"/>
      <c r="CW26" s="5745"/>
      <c r="CX26" s="3968" t="s">
        <v>426</v>
      </c>
      <c r="CY26" s="5745"/>
      <c r="CZ26" s="6530" t="s">
        <v>427</v>
      </c>
      <c r="DC26" s="576"/>
      <c r="DD26" s="576"/>
      <c r="DE26" s="576"/>
      <c r="DF26" s="576"/>
      <c r="DG26" s="576"/>
      <c r="DH26" s="1225">
        <v>0</v>
      </c>
    </row>
    <row customHeight="1" ht="14.25" hidden="1">
      <c r="P27" s="1375"/>
      <c r="AP27" s="5796"/>
      <c r="AQ27" s="5796"/>
      <c r="AR27" s="5796"/>
      <c r="AS27" s="5796"/>
      <c r="AT27" s="5796"/>
      <c r="AU27" s="5796"/>
      <c r="AV27" s="5796"/>
      <c r="AW27" s="5796"/>
      <c r="AX27" s="5796"/>
      <c r="AY27" s="5796"/>
      <c r="AZ27" s="5796"/>
      <c r="BA27" s="5796"/>
      <c r="BB27" s="5796"/>
      <c r="BC27" s="5796"/>
      <c r="BD27" s="5796"/>
      <c r="BE27" s="5796"/>
      <c r="BF27" s="5796"/>
      <c r="BG27" s="5796"/>
      <c r="BH27" s="5796"/>
      <c r="BI27" s="5796"/>
      <c r="BJ27" s="5796"/>
      <c r="BK27" s="5796"/>
      <c r="BL27" s="5796"/>
      <c r="BM27" s="5796"/>
      <c r="BN27" s="5796"/>
      <c r="BO27" s="5796"/>
      <c r="BP27" s="5796"/>
      <c r="BQ27" s="5796"/>
      <c r="BR27" s="5796"/>
      <c r="BS27" s="5796"/>
      <c r="BT27" s="5796"/>
      <c r="BU27" s="5796"/>
      <c r="BV27" s="5796"/>
      <c r="BW27" s="5796"/>
      <c r="BX27" s="5796"/>
      <c r="BY27" s="5796"/>
      <c r="BZ27" s="5796"/>
      <c r="CA27" s="5796"/>
      <c r="CB27" s="5796"/>
      <c r="CC27" s="5796"/>
      <c r="CD27" s="5796"/>
      <c r="CE27" s="5796"/>
      <c r="CF27" s="5796"/>
      <c r="CG27" s="5796"/>
      <c r="CH27" s="5796"/>
      <c r="CI27" s="5796"/>
      <c r="CJ27" s="5796"/>
      <c r="CK27" s="5796"/>
      <c r="CL27" s="5796"/>
      <c r="CM27" s="5796"/>
      <c r="CN27" s="5796"/>
      <c r="CO27" s="5796"/>
      <c r="CP27" s="5796"/>
      <c r="CQ27" s="5796"/>
      <c r="CR27" s="5796"/>
      <c r="CS27" s="5796"/>
      <c r="CT27" s="5796"/>
      <c r="CU27" s="5796"/>
      <c r="CV27" s="5796"/>
      <c r="CW27" s="5796"/>
      <c r="CX27" s="5796"/>
      <c r="CY27" s="5796"/>
      <c r="CZ27" s="6520"/>
      <c r="DH27" s="1220">
        <v>0</v>
      </c>
    </row>
    <row customHeight="1" ht="14.25" hidden="1">
      <c r="P28" s="1375"/>
      <c r="AP28" s="5796"/>
      <c r="AQ28" s="5796"/>
      <c r="AR28" s="5796"/>
      <c r="AS28" s="5796"/>
      <c r="AT28" s="5796"/>
      <c r="AU28" s="5796"/>
      <c r="AV28" s="5796"/>
      <c r="AW28" s="5796"/>
      <c r="AX28" s="5796"/>
      <c r="AY28" s="5796"/>
      <c r="AZ28" s="5796"/>
      <c r="BA28" s="5796"/>
      <c r="BB28" s="5796"/>
      <c r="BC28" s="5796"/>
      <c r="BD28" s="5796"/>
      <c r="BE28" s="5796"/>
      <c r="BF28" s="5796"/>
      <c r="BG28" s="5796"/>
      <c r="BH28" s="5796"/>
      <c r="BI28" s="5796"/>
      <c r="BJ28" s="5796"/>
      <c r="BK28" s="5796"/>
      <c r="BL28" s="5796"/>
      <c r="BM28" s="5796"/>
      <c r="BN28" s="5796"/>
      <c r="BO28" s="5796"/>
      <c r="BP28" s="5796"/>
      <c r="BQ28" s="5796"/>
      <c r="BR28" s="5796"/>
      <c r="BS28" s="5796"/>
      <c r="BT28" s="5796"/>
      <c r="BU28" s="5796"/>
      <c r="BV28" s="5796"/>
      <c r="BW28" s="5796"/>
      <c r="BX28" s="5796"/>
      <c r="BY28" s="5796"/>
      <c r="BZ28" s="5796"/>
      <c r="CA28" s="5796"/>
      <c r="CB28" s="5796"/>
      <c r="CC28" s="5796"/>
      <c r="CD28" s="5796"/>
      <c r="CE28" s="5796"/>
      <c r="CF28" s="5796"/>
      <c r="CG28" s="5796"/>
      <c r="CH28" s="5796"/>
      <c r="CI28" s="5796"/>
      <c r="CJ28" s="5796"/>
      <c r="CK28" s="5796"/>
      <c r="CL28" s="5796"/>
      <c r="CM28" s="5796"/>
      <c r="CN28" s="5796"/>
      <c r="CO28" s="5796"/>
      <c r="CP28" s="5796"/>
      <c r="CQ28" s="5796"/>
      <c r="CR28" s="5796"/>
      <c r="CS28" s="5796"/>
      <c r="CT28" s="5796"/>
      <c r="CU28" s="5796"/>
      <c r="CV28" s="5796"/>
      <c r="CW28" s="5796"/>
      <c r="CX28" s="5796"/>
      <c r="CY28" s="5796"/>
      <c r="CZ28" s="6520"/>
      <c r="DH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P29" s="5796"/>
      <c r="AQ29" s="5796"/>
      <c r="AR29" s="5796"/>
      <c r="AS29" s="5796"/>
      <c r="AT29" s="5796"/>
      <c r="AU29" s="5796"/>
      <c r="AV29" s="5796"/>
      <c r="AW29" s="5796"/>
      <c r="AX29" s="5796"/>
      <c r="AY29" s="5796"/>
      <c r="AZ29" s="5796"/>
      <c r="BA29" s="5796"/>
      <c r="BB29" s="5796"/>
      <c r="BC29" s="5796"/>
      <c r="BD29" s="5796"/>
      <c r="BE29" s="5796"/>
      <c r="BF29" s="5796"/>
      <c r="BG29" s="5796"/>
      <c r="BH29" s="5796"/>
      <c r="BI29" s="5796"/>
      <c r="BJ29" s="5796"/>
      <c r="BK29" s="5796"/>
      <c r="BL29" s="5796"/>
      <c r="BM29" s="5796"/>
      <c r="BN29" s="5796"/>
      <c r="BO29" s="5796"/>
      <c r="BP29" s="5796"/>
      <c r="BQ29" s="5796"/>
      <c r="BR29" s="5796"/>
      <c r="BS29" s="5796"/>
      <c r="BT29" s="5796"/>
      <c r="BU29" s="5796"/>
      <c r="BV29" s="5796"/>
      <c r="BW29" s="5796"/>
      <c r="BX29" s="5796"/>
      <c r="BY29" s="5796"/>
      <c r="BZ29" s="5796"/>
      <c r="CA29" s="5796"/>
      <c r="CB29" s="5796"/>
      <c r="CC29" s="5796"/>
      <c r="CD29" s="5796"/>
      <c r="CE29" s="5796"/>
      <c r="CF29" s="5796"/>
      <c r="CG29" s="5796"/>
      <c r="CH29" s="5796"/>
      <c r="CI29" s="5796"/>
      <c r="CJ29" s="5796"/>
      <c r="CK29" s="5796"/>
      <c r="CL29" s="5796"/>
      <c r="CM29" s="5796"/>
      <c r="CN29" s="5796"/>
      <c r="CO29" s="5796"/>
      <c r="CP29" s="5796"/>
      <c r="CQ29" s="5796"/>
      <c r="CR29" s="5796"/>
      <c r="CS29" s="5796"/>
      <c r="CT29" s="5796"/>
      <c r="CU29" s="5796"/>
      <c r="CV29" s="5796"/>
      <c r="CW29" s="5796"/>
      <c r="CX29" s="5796"/>
      <c r="CY29" s="5796"/>
      <c r="CZ29" s="6520"/>
      <c r="DH29" s="1220">
        <v>14</v>
      </c>
    </row>
    <row customHeight="1" ht="19.166666666666664">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P30" s="3969"/>
      <c r="AQ30" s="3969"/>
      <c r="AR30" s="3969"/>
      <c r="AS30" s="3969"/>
      <c r="AT30" s="3969"/>
      <c r="AU30" s="3969"/>
      <c r="AV30" s="3969"/>
      <c r="AW30" s="3969"/>
      <c r="AX30" s="3969"/>
      <c r="AY30" s="3969"/>
      <c r="AZ30" s="3969"/>
      <c r="BA30" s="3969"/>
      <c r="BB30" s="3969"/>
      <c r="BC30" s="3969"/>
      <c r="BD30" s="3969"/>
      <c r="BE30" s="3969"/>
      <c r="BF30" s="3969"/>
      <c r="BG30" s="3969"/>
      <c r="BH30" s="3969"/>
      <c r="BI30" s="3969"/>
      <c r="BJ30" s="3969"/>
      <c r="BK30" s="3969"/>
      <c r="BL30" s="3969"/>
      <c r="BM30" s="3969"/>
      <c r="BN30" s="3969"/>
      <c r="BO30" s="3969"/>
      <c r="BP30" s="3969"/>
      <c r="BQ30" s="3969"/>
      <c r="BR30" s="3969"/>
      <c r="BS30" s="3969"/>
      <c r="BT30" s="3969"/>
      <c r="BU30" s="3969"/>
      <c r="BV30" s="3969"/>
      <c r="BW30" s="3969"/>
      <c r="BX30" s="3969"/>
      <c r="BY30" s="3969"/>
      <c r="BZ30" s="3969"/>
      <c r="CA30" s="3969"/>
      <c r="CB30" s="3969"/>
      <c r="CC30" s="3969"/>
      <c r="CD30" s="3969"/>
      <c r="CE30" s="3969"/>
      <c r="CF30" s="3969"/>
      <c r="CG30" s="3969"/>
      <c r="CH30" s="3969"/>
      <c r="CI30" s="3969"/>
      <c r="CJ30" s="3969"/>
      <c r="CK30" s="3969"/>
      <c r="CL30" s="3969"/>
      <c r="CM30" s="3969"/>
      <c r="CN30" s="3969"/>
      <c r="CO30" s="3969"/>
      <c r="CP30" s="3969"/>
      <c r="CQ30" s="3969"/>
      <c r="CR30" s="3969"/>
      <c r="CS30" s="3969"/>
      <c r="CT30" s="3969"/>
      <c r="CU30" s="3969"/>
      <c r="CV30" s="3969"/>
      <c r="CW30" s="3969"/>
      <c r="CX30" s="3969"/>
      <c r="CY30" s="3969"/>
      <c r="CZ30" s="6531"/>
      <c r="DH30" s="1220">
        <v>54</v>
      </c>
    </row>
    <row customHeight="1" ht="14.699999999999998">
      <c r="R31" s="441"/>
      <c r="S31" s="441"/>
      <c r="T31" s="441"/>
      <c r="U31" s="2314" t="str">
        <f>IF(org=0,"Не определено",org)</f>
        <v>Нарьян-Марское МУ ПОКиТС</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P31" s="3970"/>
      <c r="AQ31" s="3970"/>
      <c r="AR31" s="3970"/>
      <c r="AS31" s="3970"/>
      <c r="AT31" s="3970"/>
      <c r="AU31" s="3970"/>
      <c r="AV31" s="3970"/>
      <c r="AW31" s="3970"/>
      <c r="AX31" s="3970"/>
      <c r="AY31" s="3970"/>
      <c r="AZ31" s="3970"/>
      <c r="BA31" s="3970"/>
      <c r="BB31" s="3970"/>
      <c r="BC31" s="3970"/>
      <c r="BD31" s="3970"/>
      <c r="BE31" s="3970"/>
      <c r="BF31" s="3970"/>
      <c r="BG31" s="3970"/>
      <c r="BH31" s="3970"/>
      <c r="BI31" s="3970"/>
      <c r="BJ31" s="3970"/>
      <c r="BK31" s="3970"/>
      <c r="BL31" s="3970"/>
      <c r="BM31" s="3970"/>
      <c r="BN31" s="3970"/>
      <c r="BO31" s="3970"/>
      <c r="BP31" s="3970"/>
      <c r="BQ31" s="3970"/>
      <c r="BR31" s="3970"/>
      <c r="BS31" s="3970"/>
      <c r="BT31" s="3970"/>
      <c r="BU31" s="3970"/>
      <c r="BV31" s="3970"/>
      <c r="BW31" s="3970"/>
      <c r="BX31" s="3970"/>
      <c r="BY31" s="3970"/>
      <c r="BZ31" s="3970"/>
      <c r="CA31" s="3970"/>
      <c r="CB31" s="3970"/>
      <c r="CC31" s="3970"/>
      <c r="CD31" s="3970"/>
      <c r="CE31" s="3970"/>
      <c r="CF31" s="3970"/>
      <c r="CG31" s="3970"/>
      <c r="CH31" s="3970"/>
      <c r="CI31" s="3970"/>
      <c r="CJ31" s="3970"/>
      <c r="CK31" s="3970"/>
      <c r="CL31" s="3970"/>
      <c r="CM31" s="3970"/>
      <c r="CN31" s="3970"/>
      <c r="CO31" s="3970"/>
      <c r="CP31" s="3970"/>
      <c r="CQ31" s="3970"/>
      <c r="CR31" s="3970"/>
      <c r="CS31" s="3970"/>
      <c r="CT31" s="3970"/>
      <c r="CU31" s="3970"/>
      <c r="CV31" s="3970"/>
      <c r="CW31" s="3970"/>
      <c r="CX31" s="3970"/>
      <c r="CY31" s="3970"/>
      <c r="CZ31" s="6532"/>
      <c r="DH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3971"/>
      <c r="AQ32" s="3971"/>
      <c r="AR32" s="3971"/>
      <c r="AS32" s="3971"/>
      <c r="AT32" s="3971"/>
      <c r="AU32" s="3971"/>
      <c r="AV32" s="3971"/>
      <c r="AW32" s="3971"/>
      <c r="AX32" s="3971"/>
      <c r="AY32" s="3971"/>
      <c r="AZ32" s="3971"/>
      <c r="BA32" s="3971"/>
      <c r="BB32" s="3971"/>
      <c r="BC32" s="3971"/>
      <c r="BD32" s="3971"/>
      <c r="BE32" s="3971"/>
      <c r="BF32" s="3971"/>
      <c r="BG32" s="3971"/>
      <c r="BH32" s="3971"/>
      <c r="BI32" s="3971"/>
      <c r="BJ32" s="3971"/>
      <c r="BK32" s="3971"/>
      <c r="BL32" s="3971"/>
      <c r="BM32" s="3971"/>
      <c r="BN32" s="3971"/>
      <c r="BO32" s="3971"/>
      <c r="BP32" s="3971"/>
      <c r="BQ32" s="3971"/>
      <c r="BR32" s="3971"/>
      <c r="BS32" s="3971"/>
      <c r="BT32" s="3971"/>
      <c r="BU32" s="3971"/>
      <c r="BV32" s="3971"/>
      <c r="BW32" s="3971"/>
      <c r="BX32" s="3971"/>
      <c r="BY32" s="3971"/>
      <c r="BZ32" s="3971"/>
      <c r="CA32" s="3971"/>
      <c r="CB32" s="3971"/>
      <c r="CC32" s="3971"/>
      <c r="CD32" s="3971"/>
      <c r="CE32" s="3971"/>
      <c r="CF32" s="3971"/>
      <c r="CG32" s="3971"/>
      <c r="CH32" s="3971"/>
      <c r="CI32" s="3971"/>
      <c r="CJ32" s="3971"/>
      <c r="CK32" s="3971"/>
      <c r="CL32" s="3971"/>
      <c r="CM32" s="3971"/>
      <c r="CN32" s="3971"/>
      <c r="CO32" s="3971"/>
      <c r="CP32" s="3971"/>
      <c r="CQ32" s="3971"/>
      <c r="CR32" s="3971"/>
      <c r="CS32" s="3971"/>
      <c r="CT32" s="3971"/>
      <c r="CU32" s="3971"/>
      <c r="CV32" s="3971"/>
      <c r="CW32" s="3971"/>
      <c r="CX32" s="3971"/>
      <c r="CY32" s="3971"/>
      <c r="CZ32" s="6533"/>
      <c r="DA32" s="574"/>
      <c r="DH32" s="1220">
        <v>0</v>
      </c>
    </row>
    <row s="6339"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УГРЦТ НАО</v>
      </c>
      <c r="Y33" s="2316"/>
      <c r="Z33" s="2316"/>
      <c r="AA33" s="2316"/>
      <c r="AB33" s="2316"/>
      <c r="AC33" s="2316"/>
      <c r="AD33" s="2316"/>
      <c r="AE33" s="2316"/>
      <c r="AF33" s="391"/>
      <c r="AG33" s="2316" t="str">
        <f>IF(TITLE_NAME_OR_PR_CHANGE="",IF(TITLE_NAME_OR_PR="","",TITLE_NAME_OR_PR),TITLE_NAME_OR_PR_CHANGE)</f>
        <v>УГРЦТ НАО</v>
      </c>
      <c r="AH33" s="2316"/>
      <c r="AI33" s="2316"/>
      <c r="AJ33" s="2316"/>
      <c r="AK33" s="2316"/>
      <c r="AL33" s="2316"/>
      <c r="AM33" s="2316"/>
      <c r="AN33" s="2316"/>
      <c r="AO33" s="391"/>
      <c r="AP33" s="5998" t="str">
        <f>IF(TITLE_NAME_OR_PR_CHANGE="",IF(TITLE_NAME_OR_PR="","",TITLE_NAME_OR_PR),TITLE_NAME_OR_PR_CHANGE)</f>
        <v>УГРЦТ НАО</v>
      </c>
      <c r="AQ33" s="5998"/>
      <c r="AR33" s="5998"/>
      <c r="AS33" s="5998"/>
      <c r="AT33" s="5998"/>
      <c r="AU33" s="5998"/>
      <c r="AV33" s="5998"/>
      <c r="AW33" s="5998"/>
      <c r="AX33" s="5796"/>
      <c r="AY33" s="5998" t="str">
        <f>IF(TITLE_NAME_OR_PR_CHANGE="",IF(TITLE_NAME_OR_PR="","",TITLE_NAME_OR_PR),TITLE_NAME_OR_PR_CHANGE)</f>
        <v>УГРЦТ НАО</v>
      </c>
      <c r="AZ33" s="5998"/>
      <c r="BA33" s="5998"/>
      <c r="BB33" s="5998"/>
      <c r="BC33" s="5998"/>
      <c r="BD33" s="5998"/>
      <c r="BE33" s="5998"/>
      <c r="BF33" s="5998"/>
      <c r="BG33" s="5796"/>
      <c r="BH33" s="5998" t="str">
        <f>IF(TITLE_NAME_OR_PR_CHANGE="",IF(TITLE_NAME_OR_PR="","",TITLE_NAME_OR_PR),TITLE_NAME_OR_PR_CHANGE)</f>
        <v>УГРЦТ НАО</v>
      </c>
      <c r="BI33" s="5998"/>
      <c r="BJ33" s="5998"/>
      <c r="BK33" s="5998"/>
      <c r="BL33" s="5998"/>
      <c r="BM33" s="5998"/>
      <c r="BN33" s="5998"/>
      <c r="BO33" s="5998"/>
      <c r="BP33" s="5796"/>
      <c r="BQ33" s="5998" t="str">
        <f>IF(TITLE_NAME_OR_PR_CHANGE="",IF(TITLE_NAME_OR_PR="","",TITLE_NAME_OR_PR),TITLE_NAME_OR_PR_CHANGE)</f>
        <v>УГРЦТ НАО</v>
      </c>
      <c r="BR33" s="5998"/>
      <c r="BS33" s="5998"/>
      <c r="BT33" s="5998"/>
      <c r="BU33" s="5998"/>
      <c r="BV33" s="5998"/>
      <c r="BW33" s="5998"/>
      <c r="BX33" s="5998"/>
      <c r="BY33" s="5796"/>
      <c r="BZ33" s="5998" t="str">
        <f>IF(TITLE_NAME_OR_PR_CHANGE="",IF(TITLE_NAME_OR_PR="","",TITLE_NAME_OR_PR),TITLE_NAME_OR_PR_CHANGE)</f>
        <v>УГРЦТ НАО</v>
      </c>
      <c r="CA33" s="5998"/>
      <c r="CB33" s="5998"/>
      <c r="CC33" s="5998"/>
      <c r="CD33" s="5998"/>
      <c r="CE33" s="5998"/>
      <c r="CF33" s="5998"/>
      <c r="CG33" s="5998"/>
      <c r="CH33" s="5796"/>
      <c r="CI33" s="5998" t="str">
        <f>IF(TITLE_NAME_OR_PR_CHANGE="",IF(TITLE_NAME_OR_PR="","",TITLE_NAME_OR_PR),TITLE_NAME_OR_PR_CHANGE)</f>
        <v>УГРЦТ НАО</v>
      </c>
      <c r="CJ33" s="5998"/>
      <c r="CK33" s="5998"/>
      <c r="CL33" s="5998"/>
      <c r="CM33" s="5998"/>
      <c r="CN33" s="5998"/>
      <c r="CO33" s="5998"/>
      <c r="CP33" s="5998"/>
      <c r="CQ33" s="5796"/>
      <c r="CR33" s="5998" t="str">
        <f>IF(TITLE_NAME_OR_PR_CHANGE="",IF(TITLE_NAME_OR_PR="","",TITLE_NAME_OR_PR),TITLE_NAME_OR_PR_CHANGE)</f>
        <v>УГРЦТ НАО</v>
      </c>
      <c r="CS33" s="5998"/>
      <c r="CT33" s="5998"/>
      <c r="CU33" s="5998"/>
      <c r="CV33" s="5998"/>
      <c r="CW33" s="5998"/>
      <c r="CX33" s="5998"/>
      <c r="CY33" s="5998"/>
      <c r="CZ33" s="6520"/>
      <c r="DA33" s="391"/>
      <c r="DB33" s="345"/>
      <c r="DC33" s="433"/>
      <c r="DD33" s="433"/>
      <c r="DE33" s="433"/>
      <c r="DF33" s="433"/>
      <c r="DG33" s="433"/>
      <c r="DH33" s="483">
        <v>0</v>
      </c>
    </row>
    <row s="6339" customFormat="1" customHeight="1" ht="18.75">
      <c r="A34" s="1313"/>
      <c r="B34" s="1313"/>
      <c r="C34" s="1313"/>
      <c r="D34" s="1313"/>
      <c r="E34" s="1313"/>
      <c r="F34" s="1313"/>
      <c r="G34" s="1313"/>
      <c r="H34" s="1313"/>
      <c r="I34" s="1313"/>
      <c r="J34" s="1313"/>
      <c r="K34" s="1313"/>
      <c r="L34" s="1313"/>
      <c r="M34" s="1445"/>
      <c r="N34" s="1313"/>
      <c r="O34" s="1313"/>
      <c r="P34" s="1313"/>
      <c r="U34" s="2315" t="s">
        <v>429</v>
      </c>
      <c r="V34" s="2315"/>
      <c r="W34" s="1437"/>
      <c r="X34" s="2329" t="str">
        <f>IF(TITLE_DATE_PR_CHANGE="",IF(TITLE_DATE_PR="","",TITLE_DATE_PR),TITLE_DATE_PR_CHANGE)</f>
        <v>46008.55446759259</v>
      </c>
      <c r="Y34" s="2329"/>
      <c r="Z34" s="2329"/>
      <c r="AA34" s="2329"/>
      <c r="AB34" s="2329"/>
      <c r="AC34" s="2329"/>
      <c r="AD34" s="2329"/>
      <c r="AE34" s="2329"/>
      <c r="AF34" s="391"/>
      <c r="AG34" s="2329" t="str">
        <f>IF(TITLE_DATE_PR_CHANGE="",IF(TITLE_DATE_PR="","",TITLE_DATE_PR),TITLE_DATE_PR_CHANGE)</f>
        <v>46008.55446759259</v>
      </c>
      <c r="AH34" s="2329"/>
      <c r="AI34" s="2329"/>
      <c r="AJ34" s="2329"/>
      <c r="AK34" s="2329"/>
      <c r="AL34" s="2329"/>
      <c r="AM34" s="2329"/>
      <c r="AN34" s="2329"/>
      <c r="AO34" s="391"/>
      <c r="AP34" s="3973" t="str">
        <f>IF(TITLE_DATE_PR_CHANGE="",IF(TITLE_DATE_PR="","",TITLE_DATE_PR),TITLE_DATE_PR_CHANGE)</f>
        <v>46008.55446759259</v>
      </c>
      <c r="AQ34" s="3973"/>
      <c r="AR34" s="3973"/>
      <c r="AS34" s="3973"/>
      <c r="AT34" s="3973"/>
      <c r="AU34" s="3973"/>
      <c r="AV34" s="3973"/>
      <c r="AW34" s="3973"/>
      <c r="AX34" s="5796"/>
      <c r="AY34" s="3973" t="str">
        <f>IF(TITLE_DATE_PR_CHANGE="",IF(TITLE_DATE_PR="","",TITLE_DATE_PR),TITLE_DATE_PR_CHANGE)</f>
        <v>46008.55446759259</v>
      </c>
      <c r="AZ34" s="3973"/>
      <c r="BA34" s="3973"/>
      <c r="BB34" s="3973"/>
      <c r="BC34" s="3973"/>
      <c r="BD34" s="3973"/>
      <c r="BE34" s="3973"/>
      <c r="BF34" s="3973"/>
      <c r="BG34" s="5796"/>
      <c r="BH34" s="3973" t="str">
        <f>IF(TITLE_DATE_PR_CHANGE="",IF(TITLE_DATE_PR="","",TITLE_DATE_PR),TITLE_DATE_PR_CHANGE)</f>
        <v>46008.55446759259</v>
      </c>
      <c r="BI34" s="3973"/>
      <c r="BJ34" s="3973"/>
      <c r="BK34" s="3973"/>
      <c r="BL34" s="3973"/>
      <c r="BM34" s="3973"/>
      <c r="BN34" s="3973"/>
      <c r="BO34" s="3973"/>
      <c r="BP34" s="5796"/>
      <c r="BQ34" s="3973" t="str">
        <f>IF(TITLE_DATE_PR_CHANGE="",IF(TITLE_DATE_PR="","",TITLE_DATE_PR),TITLE_DATE_PR_CHANGE)</f>
        <v>46008.55446759259</v>
      </c>
      <c r="BR34" s="3973"/>
      <c r="BS34" s="3973"/>
      <c r="BT34" s="3973"/>
      <c r="BU34" s="3973"/>
      <c r="BV34" s="3973"/>
      <c r="BW34" s="3973"/>
      <c r="BX34" s="3973"/>
      <c r="BY34" s="5796"/>
      <c r="BZ34" s="3973" t="str">
        <f>IF(TITLE_DATE_PR_CHANGE="",IF(TITLE_DATE_PR="","",TITLE_DATE_PR),TITLE_DATE_PR_CHANGE)</f>
        <v>46008.55446759259</v>
      </c>
      <c r="CA34" s="3973"/>
      <c r="CB34" s="3973"/>
      <c r="CC34" s="3973"/>
      <c r="CD34" s="3973"/>
      <c r="CE34" s="3973"/>
      <c r="CF34" s="3973"/>
      <c r="CG34" s="3973"/>
      <c r="CH34" s="5796"/>
      <c r="CI34" s="3973" t="str">
        <f>IF(TITLE_DATE_PR_CHANGE="",IF(TITLE_DATE_PR="","",TITLE_DATE_PR),TITLE_DATE_PR_CHANGE)</f>
        <v>46008.55446759259</v>
      </c>
      <c r="CJ34" s="3973"/>
      <c r="CK34" s="3973"/>
      <c r="CL34" s="3973"/>
      <c r="CM34" s="3973"/>
      <c r="CN34" s="3973"/>
      <c r="CO34" s="3973"/>
      <c r="CP34" s="3973"/>
      <c r="CQ34" s="5796"/>
      <c r="CR34" s="3973" t="str">
        <f>IF(TITLE_DATE_PR_CHANGE="",IF(TITLE_DATE_PR="","",TITLE_DATE_PR),TITLE_DATE_PR_CHANGE)</f>
        <v>46008.55446759259</v>
      </c>
      <c r="CS34" s="3973"/>
      <c r="CT34" s="3973"/>
      <c r="CU34" s="3973"/>
      <c r="CV34" s="3973"/>
      <c r="CW34" s="3973"/>
      <c r="CX34" s="3973"/>
      <c r="CY34" s="3973"/>
      <c r="CZ34" s="6520"/>
      <c r="DA34" s="391"/>
      <c r="DB34" s="345"/>
      <c r="DC34" s="433"/>
      <c r="DD34" s="433"/>
      <c r="DE34" s="433"/>
      <c r="DF34" s="433"/>
      <c r="DG34" s="433"/>
      <c r="DH34" s="483">
        <v>0</v>
      </c>
    </row>
    <row s="6339" customFormat="1" customHeight="1" ht="18.75">
      <c r="A35" s="1313"/>
      <c r="B35" s="1313"/>
      <c r="C35" s="1313"/>
      <c r="D35" s="1313"/>
      <c r="E35" s="1313"/>
      <c r="F35" s="1313"/>
      <c r="G35" s="1313"/>
      <c r="H35" s="1313"/>
      <c r="I35" s="1313"/>
      <c r="J35" s="1313"/>
      <c r="K35" s="1313"/>
      <c r="L35" s="1313"/>
      <c r="M35" s="1445"/>
      <c r="N35" s="1313"/>
      <c r="O35" s="1313"/>
      <c r="P35" s="1313"/>
      <c r="U35" s="2315" t="s">
        <v>430</v>
      </c>
      <c r="V35" s="2315"/>
      <c r="W35" s="1437"/>
      <c r="X35" s="2316" t="str">
        <f>IF(TITLE_NUMBER_PR_CHANGE="",IF(TITLE_NUMBER_PR="","",TITLE_NUMBER_PR),TITLE_NUMBER_PR_CHANGE)</f>
        <v>57</v>
      </c>
      <c r="Y35" s="2316"/>
      <c r="Z35" s="2316"/>
      <c r="AA35" s="2316"/>
      <c r="AB35" s="2316"/>
      <c r="AC35" s="2316"/>
      <c r="AD35" s="2316"/>
      <c r="AE35" s="2316"/>
      <c r="AF35" s="391"/>
      <c r="AG35" s="2316" t="str">
        <f>IF(TITLE_NUMBER_PR_CHANGE="",IF(TITLE_NUMBER_PR="","",TITLE_NUMBER_PR),TITLE_NUMBER_PR_CHANGE)</f>
        <v>57</v>
      </c>
      <c r="AH35" s="2316"/>
      <c r="AI35" s="2316"/>
      <c r="AJ35" s="2316"/>
      <c r="AK35" s="2316"/>
      <c r="AL35" s="2316"/>
      <c r="AM35" s="2316"/>
      <c r="AN35" s="2316"/>
      <c r="AO35" s="391"/>
      <c r="AP35" s="5998" t="str">
        <f>IF(TITLE_NUMBER_PR_CHANGE="",IF(TITLE_NUMBER_PR="","",TITLE_NUMBER_PR),TITLE_NUMBER_PR_CHANGE)</f>
        <v>57</v>
      </c>
      <c r="AQ35" s="5998"/>
      <c r="AR35" s="5998"/>
      <c r="AS35" s="5998"/>
      <c r="AT35" s="5998"/>
      <c r="AU35" s="5998"/>
      <c r="AV35" s="5998"/>
      <c r="AW35" s="5998"/>
      <c r="AX35" s="5796"/>
      <c r="AY35" s="5998" t="str">
        <f>IF(TITLE_NUMBER_PR_CHANGE="",IF(TITLE_NUMBER_PR="","",TITLE_NUMBER_PR),TITLE_NUMBER_PR_CHANGE)</f>
        <v>57</v>
      </c>
      <c r="AZ35" s="5998"/>
      <c r="BA35" s="5998"/>
      <c r="BB35" s="5998"/>
      <c r="BC35" s="5998"/>
      <c r="BD35" s="5998"/>
      <c r="BE35" s="5998"/>
      <c r="BF35" s="5998"/>
      <c r="BG35" s="5796"/>
      <c r="BH35" s="5998" t="str">
        <f>IF(TITLE_NUMBER_PR_CHANGE="",IF(TITLE_NUMBER_PR="","",TITLE_NUMBER_PR),TITLE_NUMBER_PR_CHANGE)</f>
        <v>57</v>
      </c>
      <c r="BI35" s="5998"/>
      <c r="BJ35" s="5998"/>
      <c r="BK35" s="5998"/>
      <c r="BL35" s="5998"/>
      <c r="BM35" s="5998"/>
      <c r="BN35" s="5998"/>
      <c r="BO35" s="5998"/>
      <c r="BP35" s="5796"/>
      <c r="BQ35" s="5998" t="str">
        <f>IF(TITLE_NUMBER_PR_CHANGE="",IF(TITLE_NUMBER_PR="","",TITLE_NUMBER_PR),TITLE_NUMBER_PR_CHANGE)</f>
        <v>57</v>
      </c>
      <c r="BR35" s="5998"/>
      <c r="BS35" s="5998"/>
      <c r="BT35" s="5998"/>
      <c r="BU35" s="5998"/>
      <c r="BV35" s="5998"/>
      <c r="BW35" s="5998"/>
      <c r="BX35" s="5998"/>
      <c r="BY35" s="5796"/>
      <c r="BZ35" s="5998" t="str">
        <f>IF(TITLE_NUMBER_PR_CHANGE="",IF(TITLE_NUMBER_PR="","",TITLE_NUMBER_PR),TITLE_NUMBER_PR_CHANGE)</f>
        <v>57</v>
      </c>
      <c r="CA35" s="5998"/>
      <c r="CB35" s="5998"/>
      <c r="CC35" s="5998"/>
      <c r="CD35" s="5998"/>
      <c r="CE35" s="5998"/>
      <c r="CF35" s="5998"/>
      <c r="CG35" s="5998"/>
      <c r="CH35" s="5796"/>
      <c r="CI35" s="5998" t="str">
        <f>IF(TITLE_NUMBER_PR_CHANGE="",IF(TITLE_NUMBER_PR="","",TITLE_NUMBER_PR),TITLE_NUMBER_PR_CHANGE)</f>
        <v>57</v>
      </c>
      <c r="CJ35" s="5998"/>
      <c r="CK35" s="5998"/>
      <c r="CL35" s="5998"/>
      <c r="CM35" s="5998"/>
      <c r="CN35" s="5998"/>
      <c r="CO35" s="5998"/>
      <c r="CP35" s="5998"/>
      <c r="CQ35" s="5796"/>
      <c r="CR35" s="5998" t="str">
        <f>IF(TITLE_NUMBER_PR_CHANGE="",IF(TITLE_NUMBER_PR="","",TITLE_NUMBER_PR),TITLE_NUMBER_PR_CHANGE)</f>
        <v>57</v>
      </c>
      <c r="CS35" s="5998"/>
      <c r="CT35" s="5998"/>
      <c r="CU35" s="5998"/>
      <c r="CV35" s="5998"/>
      <c r="CW35" s="5998"/>
      <c r="CX35" s="5998"/>
      <c r="CY35" s="5998"/>
      <c r="CZ35" s="6520"/>
      <c r="DA35" s="391"/>
      <c r="DB35" s="345"/>
      <c r="DC35" s="433"/>
      <c r="DD35" s="433"/>
      <c r="DE35" s="433"/>
      <c r="DF35" s="433"/>
      <c r="DG35" s="433"/>
      <c r="DH35" s="483">
        <v>0</v>
      </c>
    </row>
    <row s="6339" customFormat="1" customHeight="1" ht="0">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http://pravo.gov.ru</v>
      </c>
      <c r="Y36" s="2316"/>
      <c r="Z36" s="2316"/>
      <c r="AA36" s="2316"/>
      <c r="AB36" s="2316"/>
      <c r="AC36" s="2316"/>
      <c r="AD36" s="2316"/>
      <c r="AE36" s="2316"/>
      <c r="AF36" s="391"/>
      <c r="AG36" s="2316" t="str">
        <f>IF(TITLE_IST_PUB_CHANGE="",IF(TITLE_IST_PUB="","",TITLE_IST_PUB),TITLE_IST_PUB_CHANGE)</f>
        <v>http://pravo.gov.ru</v>
      </c>
      <c r="AH36" s="2316"/>
      <c r="AI36" s="2316"/>
      <c r="AJ36" s="2316"/>
      <c r="AK36" s="2316"/>
      <c r="AL36" s="2316"/>
      <c r="AM36" s="2316"/>
      <c r="AN36" s="2316"/>
      <c r="AO36" s="391"/>
      <c r="AP36" s="5998" t="str">
        <f>IF(TITLE_IST_PUB_CHANGE="",IF(TITLE_IST_PUB="","",TITLE_IST_PUB),TITLE_IST_PUB_CHANGE)</f>
        <v>http://pravo.gov.ru</v>
      </c>
      <c r="AQ36" s="5998"/>
      <c r="AR36" s="5998"/>
      <c r="AS36" s="5998"/>
      <c r="AT36" s="5998"/>
      <c r="AU36" s="5998"/>
      <c r="AV36" s="5998"/>
      <c r="AW36" s="5998"/>
      <c r="AX36" s="5796"/>
      <c r="AY36" s="5998" t="str">
        <f>IF(TITLE_IST_PUB_CHANGE="",IF(TITLE_IST_PUB="","",TITLE_IST_PUB),TITLE_IST_PUB_CHANGE)</f>
        <v>http://pravo.gov.ru</v>
      </c>
      <c r="AZ36" s="5998"/>
      <c r="BA36" s="5998"/>
      <c r="BB36" s="5998"/>
      <c r="BC36" s="5998"/>
      <c r="BD36" s="5998"/>
      <c r="BE36" s="5998"/>
      <c r="BF36" s="5998"/>
      <c r="BG36" s="5796"/>
      <c r="BH36" s="5998" t="str">
        <f>IF(TITLE_IST_PUB_CHANGE="",IF(TITLE_IST_PUB="","",TITLE_IST_PUB),TITLE_IST_PUB_CHANGE)</f>
        <v>http://pravo.gov.ru</v>
      </c>
      <c r="BI36" s="5998"/>
      <c r="BJ36" s="5998"/>
      <c r="BK36" s="5998"/>
      <c r="BL36" s="5998"/>
      <c r="BM36" s="5998"/>
      <c r="BN36" s="5998"/>
      <c r="BO36" s="5998"/>
      <c r="BP36" s="5796"/>
      <c r="BQ36" s="5998" t="str">
        <f>IF(TITLE_IST_PUB_CHANGE="",IF(TITLE_IST_PUB="","",TITLE_IST_PUB),TITLE_IST_PUB_CHANGE)</f>
        <v>http://pravo.gov.ru</v>
      </c>
      <c r="BR36" s="5998"/>
      <c r="BS36" s="5998"/>
      <c r="BT36" s="5998"/>
      <c r="BU36" s="5998"/>
      <c r="BV36" s="5998"/>
      <c r="BW36" s="5998"/>
      <c r="BX36" s="5998"/>
      <c r="BY36" s="5796"/>
      <c r="BZ36" s="5998" t="str">
        <f>IF(TITLE_IST_PUB_CHANGE="",IF(TITLE_IST_PUB="","",TITLE_IST_PUB),TITLE_IST_PUB_CHANGE)</f>
        <v>http://pravo.gov.ru</v>
      </c>
      <c r="CA36" s="5998"/>
      <c r="CB36" s="5998"/>
      <c r="CC36" s="5998"/>
      <c r="CD36" s="5998"/>
      <c r="CE36" s="5998"/>
      <c r="CF36" s="5998"/>
      <c r="CG36" s="5998"/>
      <c r="CH36" s="5796"/>
      <c r="CI36" s="5998" t="str">
        <f>IF(TITLE_IST_PUB_CHANGE="",IF(TITLE_IST_PUB="","",TITLE_IST_PUB),TITLE_IST_PUB_CHANGE)</f>
        <v>http://pravo.gov.ru</v>
      </c>
      <c r="CJ36" s="5998"/>
      <c r="CK36" s="5998"/>
      <c r="CL36" s="5998"/>
      <c r="CM36" s="5998"/>
      <c r="CN36" s="5998"/>
      <c r="CO36" s="5998"/>
      <c r="CP36" s="5998"/>
      <c r="CQ36" s="5796"/>
      <c r="CR36" s="5998" t="str">
        <f>IF(TITLE_IST_PUB_CHANGE="",IF(TITLE_IST_PUB="","",TITLE_IST_PUB),TITLE_IST_PUB_CHANGE)</f>
        <v>http://pravo.gov.ru</v>
      </c>
      <c r="CS36" s="5998"/>
      <c r="CT36" s="5998"/>
      <c r="CU36" s="5998"/>
      <c r="CV36" s="5998"/>
      <c r="CW36" s="5998"/>
      <c r="CX36" s="5998"/>
      <c r="CY36" s="5998"/>
      <c r="CZ36" s="6520"/>
      <c r="DA36" s="391"/>
      <c r="DB36" s="345"/>
      <c r="DC36" s="433"/>
      <c r="DD36" s="433"/>
      <c r="DE36" s="433"/>
      <c r="DF36" s="433"/>
      <c r="DG36" s="433"/>
      <c r="DH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3971"/>
      <c r="AQ37" s="3971"/>
      <c r="AR37" s="3971"/>
      <c r="AS37" s="3971"/>
      <c r="AT37" s="3971"/>
      <c r="AU37" s="3971"/>
      <c r="AV37" s="3971"/>
      <c r="AW37" s="3971"/>
      <c r="AX37" s="3971"/>
      <c r="AY37" s="3971"/>
      <c r="AZ37" s="3971"/>
      <c r="BA37" s="3971"/>
      <c r="BB37" s="3971"/>
      <c r="BC37" s="3971"/>
      <c r="BD37" s="3971"/>
      <c r="BE37" s="3971"/>
      <c r="BF37" s="3971"/>
      <c r="BG37" s="3971"/>
      <c r="BH37" s="3971"/>
      <c r="BI37" s="3971"/>
      <c r="BJ37" s="3971"/>
      <c r="BK37" s="3971"/>
      <c r="BL37" s="3971"/>
      <c r="BM37" s="3971"/>
      <c r="BN37" s="3971"/>
      <c r="BO37" s="3971"/>
      <c r="BP37" s="3971"/>
      <c r="BQ37" s="3971"/>
      <c r="BR37" s="3971"/>
      <c r="BS37" s="3971"/>
      <c r="BT37" s="3971"/>
      <c r="BU37" s="3971"/>
      <c r="BV37" s="3971"/>
      <c r="BW37" s="3971"/>
      <c r="BX37" s="3971"/>
      <c r="BY37" s="3971"/>
      <c r="BZ37" s="3971"/>
      <c r="CA37" s="3971"/>
      <c r="CB37" s="3971"/>
      <c r="CC37" s="3971"/>
      <c r="CD37" s="3971"/>
      <c r="CE37" s="3971"/>
      <c r="CF37" s="3971"/>
      <c r="CG37" s="3971"/>
      <c r="CH37" s="3971"/>
      <c r="CI37" s="3971"/>
      <c r="CJ37" s="3971"/>
      <c r="CK37" s="3971"/>
      <c r="CL37" s="3971"/>
      <c r="CM37" s="3971"/>
      <c r="CN37" s="3971"/>
      <c r="CO37" s="3971"/>
      <c r="CP37" s="3971"/>
      <c r="CQ37" s="3971"/>
      <c r="CR37" s="3971"/>
      <c r="CS37" s="3971"/>
      <c r="CT37" s="3971"/>
      <c r="CU37" s="3971"/>
      <c r="CV37" s="3971"/>
      <c r="CW37" s="3971"/>
      <c r="CX37" s="3971"/>
      <c r="CY37" s="3971"/>
      <c r="CZ37" s="6533"/>
      <c r="DA37" s="574"/>
      <c r="DH37" s="1220">
        <v>0</v>
      </c>
    </row>
    <row s="6339" customFormat="1" customHeight="1" ht="18.75" hidden="1">
      <c r="A38" s="1313"/>
      <c r="B38" s="1313"/>
      <c r="C38" s="1313"/>
      <c r="D38" s="1313"/>
      <c r="E38" s="1313"/>
      <c r="F38" s="1313"/>
      <c r="G38" s="1313"/>
      <c r="H38" s="1313"/>
      <c r="I38" s="1313"/>
      <c r="J38" s="1313"/>
      <c r="K38" s="1313"/>
      <c r="L38" s="1313"/>
      <c r="M38" s="1445"/>
      <c r="N38" s="1313"/>
      <c r="O38" s="1313"/>
      <c r="P38" s="1313"/>
      <c r="U38" s="2315" t="s">
        <v>431</v>
      </c>
      <c r="V38" s="2315"/>
      <c r="W38" s="1437"/>
      <c r="X38" s="2329" t="str">
        <f>IF(TITLE_DATE_PR_CHANGE="",IF(TITLE_DATE_PR="","",TITLE_DATE_PR),TITLE_DATE_PR_CHANGE)</f>
        <v>46008.55446759259</v>
      </c>
      <c r="Y38" s="2329"/>
      <c r="Z38" s="2329"/>
      <c r="AA38" s="2329"/>
      <c r="AB38" s="2329"/>
      <c r="AC38" s="2329"/>
      <c r="AD38" s="2329"/>
      <c r="AE38" s="2329"/>
      <c r="AF38" s="391"/>
      <c r="AG38" s="2329" t="str">
        <f>IF(TITLE_DATE_PR_CHANGE="",IF(TITLE_DATE_PR="","",TITLE_DATE_PR),TITLE_DATE_PR_CHANGE)</f>
        <v>46008.55446759259</v>
      </c>
      <c r="AH38" s="2329"/>
      <c r="AI38" s="2329"/>
      <c r="AJ38" s="2329"/>
      <c r="AK38" s="2329"/>
      <c r="AL38" s="2329"/>
      <c r="AM38" s="2329"/>
      <c r="AN38" s="2329"/>
      <c r="AO38" s="391"/>
      <c r="AP38" s="3973" t="str">
        <f>IF(TITLE_DATE_PR_CHANGE="",IF(TITLE_DATE_PR="","",TITLE_DATE_PR),TITLE_DATE_PR_CHANGE)</f>
        <v>46008.55446759259</v>
      </c>
      <c r="AQ38" s="3973"/>
      <c r="AR38" s="3973"/>
      <c r="AS38" s="3973"/>
      <c r="AT38" s="3973"/>
      <c r="AU38" s="3973"/>
      <c r="AV38" s="3973"/>
      <c r="AW38" s="3973"/>
      <c r="AX38" s="5796"/>
      <c r="AY38" s="3973" t="str">
        <f>IF(TITLE_DATE_PR_CHANGE="",IF(TITLE_DATE_PR="","",TITLE_DATE_PR),TITLE_DATE_PR_CHANGE)</f>
        <v>46008.55446759259</v>
      </c>
      <c r="AZ38" s="3973"/>
      <c r="BA38" s="3973"/>
      <c r="BB38" s="3973"/>
      <c r="BC38" s="3973"/>
      <c r="BD38" s="3973"/>
      <c r="BE38" s="3973"/>
      <c r="BF38" s="3973"/>
      <c r="BG38" s="5796"/>
      <c r="BH38" s="3973" t="str">
        <f>IF(TITLE_DATE_PR_CHANGE="",IF(TITLE_DATE_PR="","",TITLE_DATE_PR),TITLE_DATE_PR_CHANGE)</f>
        <v>46008.55446759259</v>
      </c>
      <c r="BI38" s="3973"/>
      <c r="BJ38" s="3973"/>
      <c r="BK38" s="3973"/>
      <c r="BL38" s="3973"/>
      <c r="BM38" s="3973"/>
      <c r="BN38" s="3973"/>
      <c r="BO38" s="3973"/>
      <c r="BP38" s="5796"/>
      <c r="BQ38" s="3973" t="str">
        <f>IF(TITLE_DATE_PR_CHANGE="",IF(TITLE_DATE_PR="","",TITLE_DATE_PR),TITLE_DATE_PR_CHANGE)</f>
        <v>46008.55446759259</v>
      </c>
      <c r="BR38" s="3973"/>
      <c r="BS38" s="3973"/>
      <c r="BT38" s="3973"/>
      <c r="BU38" s="3973"/>
      <c r="BV38" s="3973"/>
      <c r="BW38" s="3973"/>
      <c r="BX38" s="3973"/>
      <c r="BY38" s="5796"/>
      <c r="BZ38" s="3973" t="str">
        <f>IF(TITLE_DATE_PR_CHANGE="",IF(TITLE_DATE_PR="","",TITLE_DATE_PR),TITLE_DATE_PR_CHANGE)</f>
        <v>46008.55446759259</v>
      </c>
      <c r="CA38" s="3973"/>
      <c r="CB38" s="3973"/>
      <c r="CC38" s="3973"/>
      <c r="CD38" s="3973"/>
      <c r="CE38" s="3973"/>
      <c r="CF38" s="3973"/>
      <c r="CG38" s="3973"/>
      <c r="CH38" s="5796"/>
      <c r="CI38" s="3973" t="str">
        <f>IF(TITLE_DATE_PR_CHANGE="",IF(TITLE_DATE_PR="","",TITLE_DATE_PR),TITLE_DATE_PR_CHANGE)</f>
        <v>46008.55446759259</v>
      </c>
      <c r="CJ38" s="3973"/>
      <c r="CK38" s="3973"/>
      <c r="CL38" s="3973"/>
      <c r="CM38" s="3973"/>
      <c r="CN38" s="3973"/>
      <c r="CO38" s="3973"/>
      <c r="CP38" s="3973"/>
      <c r="CQ38" s="5796"/>
      <c r="CR38" s="3973" t="str">
        <f>IF(TITLE_DATE_PR_CHANGE="",IF(TITLE_DATE_PR="","",TITLE_DATE_PR),TITLE_DATE_PR_CHANGE)</f>
        <v>46008.55446759259</v>
      </c>
      <c r="CS38" s="3973"/>
      <c r="CT38" s="3973"/>
      <c r="CU38" s="3973"/>
      <c r="CV38" s="3973"/>
      <c r="CW38" s="3973"/>
      <c r="CX38" s="3973"/>
      <c r="CY38" s="3973"/>
      <c r="CZ38" s="6520"/>
      <c r="DA38" s="391"/>
      <c r="DB38" s="345"/>
      <c r="DC38" s="433"/>
      <c r="DD38" s="433"/>
      <c r="DE38" s="433"/>
      <c r="DF38" s="433"/>
      <c r="DG38" s="433"/>
      <c r="DH38" s="483">
        <v>0</v>
      </c>
    </row>
    <row s="6339" customFormat="1" customHeight="1" ht="18.75" hidden="1">
      <c r="A39" s="1313"/>
      <c r="B39" s="1313"/>
      <c r="C39" s="1313"/>
      <c r="D39" s="1313"/>
      <c r="E39" s="1313"/>
      <c r="F39" s="1313"/>
      <c r="G39" s="1313"/>
      <c r="H39" s="1313"/>
      <c r="I39" s="1313"/>
      <c r="J39" s="1313"/>
      <c r="K39" s="1313"/>
      <c r="L39" s="1313"/>
      <c r="M39" s="1445"/>
      <c r="N39" s="1313"/>
      <c r="O39" s="1313"/>
      <c r="P39" s="1313"/>
      <c r="U39" s="2315" t="s">
        <v>432</v>
      </c>
      <c r="V39" s="2315"/>
      <c r="W39" s="1437"/>
      <c r="X39" s="2316" t="str">
        <f>IF(TITLE_NUMBER_PR_CHANGE="",IF(TITLE_NUMBER_PR="","",TITLE_NUMBER_PR),TITLE_NUMBER_PR_CHANGE)</f>
        <v>57</v>
      </c>
      <c r="Y39" s="2316"/>
      <c r="Z39" s="2316"/>
      <c r="AA39" s="2316"/>
      <c r="AB39" s="2316"/>
      <c r="AC39" s="2316"/>
      <c r="AD39" s="2316"/>
      <c r="AE39" s="2316"/>
      <c r="AF39" s="391"/>
      <c r="AG39" s="2316" t="str">
        <f>IF(TITLE_NUMBER_PR_CHANGE="",IF(TITLE_NUMBER_PR="","",TITLE_NUMBER_PR),TITLE_NUMBER_PR_CHANGE)</f>
        <v>57</v>
      </c>
      <c r="AH39" s="2316"/>
      <c r="AI39" s="2316"/>
      <c r="AJ39" s="2316"/>
      <c r="AK39" s="2316"/>
      <c r="AL39" s="2316"/>
      <c r="AM39" s="2316"/>
      <c r="AN39" s="2316"/>
      <c r="AO39" s="391"/>
      <c r="AP39" s="5998" t="str">
        <f>IF(TITLE_NUMBER_PR_CHANGE="",IF(TITLE_NUMBER_PR="","",TITLE_NUMBER_PR),TITLE_NUMBER_PR_CHANGE)</f>
        <v>57</v>
      </c>
      <c r="AQ39" s="5998"/>
      <c r="AR39" s="5998"/>
      <c r="AS39" s="5998"/>
      <c r="AT39" s="5998"/>
      <c r="AU39" s="5998"/>
      <c r="AV39" s="5998"/>
      <c r="AW39" s="5998"/>
      <c r="AX39" s="5796"/>
      <c r="AY39" s="5998" t="str">
        <f>IF(TITLE_NUMBER_PR_CHANGE="",IF(TITLE_NUMBER_PR="","",TITLE_NUMBER_PR),TITLE_NUMBER_PR_CHANGE)</f>
        <v>57</v>
      </c>
      <c r="AZ39" s="5998"/>
      <c r="BA39" s="5998"/>
      <c r="BB39" s="5998"/>
      <c r="BC39" s="5998"/>
      <c r="BD39" s="5998"/>
      <c r="BE39" s="5998"/>
      <c r="BF39" s="5998"/>
      <c r="BG39" s="5796"/>
      <c r="BH39" s="5998" t="str">
        <f>IF(TITLE_NUMBER_PR_CHANGE="",IF(TITLE_NUMBER_PR="","",TITLE_NUMBER_PR),TITLE_NUMBER_PR_CHANGE)</f>
        <v>57</v>
      </c>
      <c r="BI39" s="5998"/>
      <c r="BJ39" s="5998"/>
      <c r="BK39" s="5998"/>
      <c r="BL39" s="5998"/>
      <c r="BM39" s="5998"/>
      <c r="BN39" s="5998"/>
      <c r="BO39" s="5998"/>
      <c r="BP39" s="5796"/>
      <c r="BQ39" s="5998" t="str">
        <f>IF(TITLE_NUMBER_PR_CHANGE="",IF(TITLE_NUMBER_PR="","",TITLE_NUMBER_PR),TITLE_NUMBER_PR_CHANGE)</f>
        <v>57</v>
      </c>
      <c r="BR39" s="5998"/>
      <c r="BS39" s="5998"/>
      <c r="BT39" s="5998"/>
      <c r="BU39" s="5998"/>
      <c r="BV39" s="5998"/>
      <c r="BW39" s="5998"/>
      <c r="BX39" s="5998"/>
      <c r="BY39" s="5796"/>
      <c r="BZ39" s="5998" t="str">
        <f>IF(TITLE_NUMBER_PR_CHANGE="",IF(TITLE_NUMBER_PR="","",TITLE_NUMBER_PR),TITLE_NUMBER_PR_CHANGE)</f>
        <v>57</v>
      </c>
      <c r="CA39" s="5998"/>
      <c r="CB39" s="5998"/>
      <c r="CC39" s="5998"/>
      <c r="CD39" s="5998"/>
      <c r="CE39" s="5998"/>
      <c r="CF39" s="5998"/>
      <c r="CG39" s="5998"/>
      <c r="CH39" s="5796"/>
      <c r="CI39" s="5998" t="str">
        <f>IF(TITLE_NUMBER_PR_CHANGE="",IF(TITLE_NUMBER_PR="","",TITLE_NUMBER_PR),TITLE_NUMBER_PR_CHANGE)</f>
        <v>57</v>
      </c>
      <c r="CJ39" s="5998"/>
      <c r="CK39" s="5998"/>
      <c r="CL39" s="5998"/>
      <c r="CM39" s="5998"/>
      <c r="CN39" s="5998"/>
      <c r="CO39" s="5998"/>
      <c r="CP39" s="5998"/>
      <c r="CQ39" s="5796"/>
      <c r="CR39" s="5998" t="str">
        <f>IF(TITLE_NUMBER_PR_CHANGE="",IF(TITLE_NUMBER_PR="","",TITLE_NUMBER_PR),TITLE_NUMBER_PR_CHANGE)</f>
        <v>57</v>
      </c>
      <c r="CS39" s="5998"/>
      <c r="CT39" s="5998"/>
      <c r="CU39" s="5998"/>
      <c r="CV39" s="5998"/>
      <c r="CW39" s="5998"/>
      <c r="CX39" s="5998"/>
      <c r="CY39" s="5998"/>
      <c r="CZ39" s="6520"/>
      <c r="DA39" s="391"/>
      <c r="DB39" s="345"/>
      <c r="DC39" s="433"/>
      <c r="DD39" s="433"/>
      <c r="DE39" s="433"/>
      <c r="DF39" s="433"/>
      <c r="DG39" s="433"/>
      <c r="DH39" s="483">
        <v>0</v>
      </c>
    </row>
    <row s="6339"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433</v>
      </c>
      <c r="AG40" s="391"/>
      <c r="AH40" s="391"/>
      <c r="AI40" s="391"/>
      <c r="AJ40" s="391"/>
      <c r="AK40" s="391"/>
      <c r="AL40" s="391"/>
      <c r="AM40" s="391"/>
      <c r="AN40" s="391"/>
      <c r="AO40" s="343" t="s">
        <v>433</v>
      </c>
      <c r="AP40" s="5796"/>
      <c r="AQ40" s="5796"/>
      <c r="AR40" s="5796"/>
      <c r="AS40" s="5796"/>
      <c r="AT40" s="5796"/>
      <c r="AU40" s="5796"/>
      <c r="AV40" s="5796"/>
      <c r="AW40" s="5796"/>
      <c r="AX40" s="5305" t="s">
        <v>433</v>
      </c>
      <c r="AY40" s="5796"/>
      <c r="AZ40" s="5796"/>
      <c r="BA40" s="5796"/>
      <c r="BB40" s="5796"/>
      <c r="BC40" s="5796"/>
      <c r="BD40" s="5796"/>
      <c r="BE40" s="5796"/>
      <c r="BF40" s="5796"/>
      <c r="BG40" s="5305" t="s">
        <v>433</v>
      </c>
      <c r="BH40" s="5796"/>
      <c r="BI40" s="5796"/>
      <c r="BJ40" s="5796"/>
      <c r="BK40" s="5796"/>
      <c r="BL40" s="5796"/>
      <c r="BM40" s="5796"/>
      <c r="BN40" s="5796"/>
      <c r="BO40" s="5796"/>
      <c r="BP40" s="5305" t="s">
        <v>433</v>
      </c>
      <c r="BQ40" s="5796"/>
      <c r="BR40" s="5796"/>
      <c r="BS40" s="5796"/>
      <c r="BT40" s="5796"/>
      <c r="BU40" s="5796"/>
      <c r="BV40" s="5796"/>
      <c r="BW40" s="5796"/>
      <c r="BX40" s="5796"/>
      <c r="BY40" s="5305" t="s">
        <v>433</v>
      </c>
      <c r="BZ40" s="5796"/>
      <c r="CA40" s="5796"/>
      <c r="CB40" s="5796"/>
      <c r="CC40" s="5796"/>
      <c r="CD40" s="5796"/>
      <c r="CE40" s="5796"/>
      <c r="CF40" s="5796"/>
      <c r="CG40" s="5796"/>
      <c r="CH40" s="5305" t="s">
        <v>433</v>
      </c>
      <c r="CI40" s="5796"/>
      <c r="CJ40" s="5796"/>
      <c r="CK40" s="5796"/>
      <c r="CL40" s="5796"/>
      <c r="CM40" s="5796"/>
      <c r="CN40" s="5796"/>
      <c r="CO40" s="5796"/>
      <c r="CP40" s="5796"/>
      <c r="CQ40" s="5305" t="s">
        <v>433</v>
      </c>
      <c r="CR40" s="5796"/>
      <c r="CS40" s="5796"/>
      <c r="CT40" s="5796"/>
      <c r="CU40" s="5796"/>
      <c r="CV40" s="5796"/>
      <c r="CW40" s="5796"/>
      <c r="CX40" s="5796"/>
      <c r="CY40" s="5796"/>
      <c r="CZ40" s="6534" t="s">
        <v>433</v>
      </c>
      <c r="DC40" s="433"/>
      <c r="DD40" s="433"/>
      <c r="DE40" s="433"/>
      <c r="DF40" s="433"/>
      <c r="DG40" s="433"/>
      <c r="DH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P41" s="5109" t="s">
        <v>454</v>
      </c>
      <c r="AQ41" s="5109"/>
      <c r="AR41" s="5109"/>
      <c r="AS41" s="5109"/>
      <c r="AT41" s="5109"/>
      <c r="AU41" s="5109"/>
      <c r="AV41" s="5109"/>
      <c r="AW41" s="5109"/>
      <c r="AX41" s="5109"/>
      <c r="AY41" s="5109" t="s">
        <v>454</v>
      </c>
      <c r="AZ41" s="5109"/>
      <c r="BA41" s="5109"/>
      <c r="BB41" s="5109"/>
      <c r="BC41" s="5109"/>
      <c r="BD41" s="5109"/>
      <c r="BE41" s="5109"/>
      <c r="BF41" s="5109"/>
      <c r="BG41" s="5109"/>
      <c r="BH41" s="5109" t="s">
        <v>454</v>
      </c>
      <c r="BI41" s="5109"/>
      <c r="BJ41" s="5109"/>
      <c r="BK41" s="5109"/>
      <c r="BL41" s="5109"/>
      <c r="BM41" s="5109"/>
      <c r="BN41" s="5109"/>
      <c r="BO41" s="5109"/>
      <c r="BP41" s="5109"/>
      <c r="BQ41" s="5109" t="s">
        <v>454</v>
      </c>
      <c r="BR41" s="5109"/>
      <c r="BS41" s="5109"/>
      <c r="BT41" s="5109"/>
      <c r="BU41" s="5109"/>
      <c r="BV41" s="5109"/>
      <c r="BW41" s="5109"/>
      <c r="BX41" s="5109"/>
      <c r="BY41" s="5109"/>
      <c r="BZ41" s="5109" t="s">
        <v>454</v>
      </c>
      <c r="CA41" s="5109"/>
      <c r="CB41" s="5109"/>
      <c r="CC41" s="5109"/>
      <c r="CD41" s="5109"/>
      <c r="CE41" s="5109"/>
      <c r="CF41" s="5109"/>
      <c r="CG41" s="5109"/>
      <c r="CH41" s="5109"/>
      <c r="CI41" s="5109" t="s">
        <v>454</v>
      </c>
      <c r="CJ41" s="5109"/>
      <c r="CK41" s="5109"/>
      <c r="CL41" s="5109"/>
      <c r="CM41" s="5109"/>
      <c r="CN41" s="5109"/>
      <c r="CO41" s="5109"/>
      <c r="CP41" s="5109"/>
      <c r="CQ41" s="5109"/>
      <c r="CR41" s="5109" t="s">
        <v>454</v>
      </c>
      <c r="CS41" s="5109"/>
      <c r="CT41" s="5109"/>
      <c r="CU41" s="5109"/>
      <c r="CV41" s="5109"/>
      <c r="CW41" s="5109"/>
      <c r="CX41" s="5109"/>
      <c r="CY41" s="5109"/>
      <c r="CZ41" s="6535"/>
      <c r="DH41" s="1220">
        <v>14</v>
      </c>
    </row>
    <row customHeight="1" ht="15">
      <c r="R42" s="441"/>
      <c r="S42" s="441"/>
      <c r="T42" s="441"/>
      <c r="U42" s="2192" t="s">
        <v>309</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6148" t="s">
        <v>309</v>
      </c>
      <c r="AQ42" s="6148"/>
      <c r="AR42" s="6148"/>
      <c r="AS42" s="6148"/>
      <c r="AT42" s="6148"/>
      <c r="AU42" s="6148"/>
      <c r="AV42" s="6148"/>
      <c r="AW42" s="6148"/>
      <c r="AX42" s="6148"/>
      <c r="AY42" s="6148" t="s">
        <v>309</v>
      </c>
      <c r="AZ42" s="6148"/>
      <c r="BA42" s="6148"/>
      <c r="BB42" s="6148"/>
      <c r="BC42" s="6148"/>
      <c r="BD42" s="6148"/>
      <c r="BE42" s="6148"/>
      <c r="BF42" s="6148"/>
      <c r="BG42" s="6148"/>
      <c r="BH42" s="6148" t="s">
        <v>309</v>
      </c>
      <c r="BI42" s="6148"/>
      <c r="BJ42" s="6148"/>
      <c r="BK42" s="6148"/>
      <c r="BL42" s="6148"/>
      <c r="BM42" s="6148"/>
      <c r="BN42" s="6148"/>
      <c r="BO42" s="6148"/>
      <c r="BP42" s="6148"/>
      <c r="BQ42" s="6148" t="s">
        <v>309</v>
      </c>
      <c r="BR42" s="6148"/>
      <c r="BS42" s="6148"/>
      <c r="BT42" s="6148"/>
      <c r="BU42" s="6148"/>
      <c r="BV42" s="6148"/>
      <c r="BW42" s="6148"/>
      <c r="BX42" s="6148"/>
      <c r="BY42" s="6148"/>
      <c r="BZ42" s="6148" t="s">
        <v>309</v>
      </c>
      <c r="CA42" s="6148"/>
      <c r="CB42" s="6148"/>
      <c r="CC42" s="6148"/>
      <c r="CD42" s="6148"/>
      <c r="CE42" s="6148"/>
      <c r="CF42" s="6148"/>
      <c r="CG42" s="6148"/>
      <c r="CH42" s="6148"/>
      <c r="CI42" s="6148" t="s">
        <v>309</v>
      </c>
      <c r="CJ42" s="6148"/>
      <c r="CK42" s="6148"/>
      <c r="CL42" s="6148"/>
      <c r="CM42" s="6148"/>
      <c r="CN42" s="6148"/>
      <c r="CO42" s="6148"/>
      <c r="CP42" s="6148"/>
      <c r="CQ42" s="6148"/>
      <c r="CR42" s="6148" t="s">
        <v>309</v>
      </c>
      <c r="CS42" s="6148"/>
      <c r="CT42" s="6148"/>
      <c r="CU42" s="6148"/>
      <c r="CV42" s="6148"/>
      <c r="CW42" s="6148"/>
      <c r="CX42" s="6148"/>
      <c r="CY42" s="6148"/>
      <c r="CZ42" s="6536"/>
      <c r="DA42" s="2192"/>
      <c r="DB42" s="2192"/>
      <c r="DH42" s="1220"/>
    </row>
    <row customHeight="1" ht="14.699999999999998">
      <c r="R43" s="441"/>
      <c r="S43" s="441"/>
      <c r="T43" s="441"/>
      <c r="U43" s="2338" t="s">
        <v>91</v>
      </c>
      <c r="V43" s="2274" t="s">
        <v>434</v>
      </c>
      <c r="W43" s="366"/>
      <c r="X43" s="2339" t="s">
        <v>435</v>
      </c>
      <c r="Y43" s="2356"/>
      <c r="Z43" s="2356"/>
      <c r="AA43" s="2356"/>
      <c r="AB43" s="2356"/>
      <c r="AC43" s="2340"/>
      <c r="AD43" s="2340"/>
      <c r="AE43" s="2341"/>
      <c r="AF43" s="2342" t="s">
        <v>436</v>
      </c>
      <c r="AG43" s="2339" t="s">
        <v>435</v>
      </c>
      <c r="AH43" s="2356"/>
      <c r="AI43" s="2356"/>
      <c r="AJ43" s="2356"/>
      <c r="AK43" s="2356"/>
      <c r="AL43" s="2340"/>
      <c r="AM43" s="2340"/>
      <c r="AN43" s="2341"/>
      <c r="AO43" s="2342" t="s">
        <v>437</v>
      </c>
      <c r="AP43" s="5542" t="s">
        <v>435</v>
      </c>
      <c r="AQ43" s="4617"/>
      <c r="AR43" s="4617"/>
      <c r="AS43" s="4617"/>
      <c r="AT43" s="4617"/>
      <c r="AU43" s="5543"/>
      <c r="AV43" s="5543"/>
      <c r="AW43" s="5544"/>
      <c r="AX43" s="5546" t="s">
        <v>436</v>
      </c>
      <c r="AY43" s="5542" t="s">
        <v>435</v>
      </c>
      <c r="AZ43" s="4617"/>
      <c r="BA43" s="4617"/>
      <c r="BB43" s="4617"/>
      <c r="BC43" s="4617"/>
      <c r="BD43" s="5543"/>
      <c r="BE43" s="5543"/>
      <c r="BF43" s="5544"/>
      <c r="BG43" s="5546" t="s">
        <v>436</v>
      </c>
      <c r="BH43" s="5542" t="s">
        <v>435</v>
      </c>
      <c r="BI43" s="4617"/>
      <c r="BJ43" s="4617"/>
      <c r="BK43" s="4617"/>
      <c r="BL43" s="4617"/>
      <c r="BM43" s="5543"/>
      <c r="BN43" s="5543"/>
      <c r="BO43" s="5544"/>
      <c r="BP43" s="5546" t="s">
        <v>436</v>
      </c>
      <c r="BQ43" s="5542" t="s">
        <v>435</v>
      </c>
      <c r="BR43" s="4617"/>
      <c r="BS43" s="4617"/>
      <c r="BT43" s="4617"/>
      <c r="BU43" s="4617"/>
      <c r="BV43" s="5543"/>
      <c r="BW43" s="5543"/>
      <c r="BX43" s="5544"/>
      <c r="BY43" s="5546" t="s">
        <v>436</v>
      </c>
      <c r="BZ43" s="5542" t="s">
        <v>435</v>
      </c>
      <c r="CA43" s="4617"/>
      <c r="CB43" s="4617"/>
      <c r="CC43" s="4617"/>
      <c r="CD43" s="4617"/>
      <c r="CE43" s="5543"/>
      <c r="CF43" s="5543"/>
      <c r="CG43" s="5544"/>
      <c r="CH43" s="5546" t="s">
        <v>436</v>
      </c>
      <c r="CI43" s="5542" t="s">
        <v>435</v>
      </c>
      <c r="CJ43" s="4617"/>
      <c r="CK43" s="4617"/>
      <c r="CL43" s="4617"/>
      <c r="CM43" s="4617"/>
      <c r="CN43" s="5543"/>
      <c r="CO43" s="5543"/>
      <c r="CP43" s="5544"/>
      <c r="CQ43" s="5546" t="s">
        <v>436</v>
      </c>
      <c r="CR43" s="5542" t="s">
        <v>435</v>
      </c>
      <c r="CS43" s="4617"/>
      <c r="CT43" s="4617"/>
      <c r="CU43" s="4617"/>
      <c r="CV43" s="4617"/>
      <c r="CW43" s="5543"/>
      <c r="CX43" s="5543"/>
      <c r="CY43" s="5544"/>
      <c r="CZ43" s="6537" t="s">
        <v>436</v>
      </c>
      <c r="DA43" s="2345" t="s">
        <v>438</v>
      </c>
      <c r="DB43" s="2192"/>
      <c r="DH43" s="1220">
        <v>14</v>
      </c>
    </row>
    <row customHeight="1" ht="9.999999999999998">
      <c r="R44" s="441"/>
      <c r="S44" s="441"/>
      <c r="T44" s="441"/>
      <c r="U44" s="2338"/>
      <c r="V44" s="2274"/>
      <c r="W44" s="1096"/>
      <c r="X44" s="2359" t="s">
        <v>465</v>
      </c>
      <c r="Y44" s="2377" t="s">
        <v>466</v>
      </c>
      <c r="Z44" s="2377"/>
      <c r="AA44" s="2377"/>
      <c r="AB44" s="2377"/>
      <c r="AC44" s="2359" t="s">
        <v>442</v>
      </c>
      <c r="AD44" s="2676"/>
      <c r="AE44" s="2379"/>
      <c r="AF44" s="2343"/>
      <c r="AG44" s="2359" t="s">
        <v>465</v>
      </c>
      <c r="AH44" s="2377" t="s">
        <v>466</v>
      </c>
      <c r="AI44" s="2377"/>
      <c r="AJ44" s="2377"/>
      <c r="AK44" s="2377"/>
      <c r="AL44" s="2359" t="s">
        <v>442</v>
      </c>
      <c r="AM44" s="2676"/>
      <c r="AN44" s="2379"/>
      <c r="AO44" s="2343"/>
      <c r="AP44" s="5384" t="s">
        <v>465</v>
      </c>
      <c r="AQ44" s="6148" t="s">
        <v>466</v>
      </c>
      <c r="AR44" s="6148"/>
      <c r="AS44" s="6148"/>
      <c r="AT44" s="6148"/>
      <c r="AU44" s="5384" t="s">
        <v>442</v>
      </c>
      <c r="AV44" s="5034"/>
      <c r="AW44" s="5269"/>
      <c r="AX44" s="3987"/>
      <c r="AY44" s="5384" t="s">
        <v>465</v>
      </c>
      <c r="AZ44" s="6148" t="s">
        <v>466</v>
      </c>
      <c r="BA44" s="6148"/>
      <c r="BB44" s="6148"/>
      <c r="BC44" s="6148"/>
      <c r="BD44" s="5384" t="s">
        <v>442</v>
      </c>
      <c r="BE44" s="5034"/>
      <c r="BF44" s="5269"/>
      <c r="BG44" s="3987"/>
      <c r="BH44" s="5384" t="s">
        <v>465</v>
      </c>
      <c r="BI44" s="6148" t="s">
        <v>466</v>
      </c>
      <c r="BJ44" s="6148"/>
      <c r="BK44" s="6148"/>
      <c r="BL44" s="6148"/>
      <c r="BM44" s="5384" t="s">
        <v>442</v>
      </c>
      <c r="BN44" s="5034"/>
      <c r="BO44" s="5269"/>
      <c r="BP44" s="3987"/>
      <c r="BQ44" s="5384" t="s">
        <v>465</v>
      </c>
      <c r="BR44" s="6148" t="s">
        <v>466</v>
      </c>
      <c r="BS44" s="6148"/>
      <c r="BT44" s="6148"/>
      <c r="BU44" s="6148"/>
      <c r="BV44" s="5384" t="s">
        <v>442</v>
      </c>
      <c r="BW44" s="5034"/>
      <c r="BX44" s="5269"/>
      <c r="BY44" s="3987"/>
      <c r="BZ44" s="5384" t="s">
        <v>465</v>
      </c>
      <c r="CA44" s="6148" t="s">
        <v>466</v>
      </c>
      <c r="CB44" s="6148"/>
      <c r="CC44" s="6148"/>
      <c r="CD44" s="6148"/>
      <c r="CE44" s="5384" t="s">
        <v>442</v>
      </c>
      <c r="CF44" s="5034"/>
      <c r="CG44" s="5269"/>
      <c r="CH44" s="3987"/>
      <c r="CI44" s="5384" t="s">
        <v>465</v>
      </c>
      <c r="CJ44" s="6148" t="s">
        <v>466</v>
      </c>
      <c r="CK44" s="6148"/>
      <c r="CL44" s="6148"/>
      <c r="CM44" s="6148"/>
      <c r="CN44" s="5384" t="s">
        <v>442</v>
      </c>
      <c r="CO44" s="5034"/>
      <c r="CP44" s="5269"/>
      <c r="CQ44" s="3987"/>
      <c r="CR44" s="5384" t="s">
        <v>465</v>
      </c>
      <c r="CS44" s="6148" t="s">
        <v>466</v>
      </c>
      <c r="CT44" s="6148"/>
      <c r="CU44" s="6148"/>
      <c r="CV44" s="6148"/>
      <c r="CW44" s="5384" t="s">
        <v>442</v>
      </c>
      <c r="CX44" s="5034"/>
      <c r="CY44" s="5269"/>
      <c r="CZ44" s="6538"/>
      <c r="DA44" s="2346"/>
      <c r="DB44" s="2192"/>
      <c r="DH44" s="1220">
        <v>34</v>
      </c>
    </row>
    <row customHeight="1" ht="14.699999999999998">
      <c r="R45" s="441"/>
      <c r="S45" s="441"/>
      <c r="T45" s="441"/>
      <c r="U45" s="2338"/>
      <c r="V45" s="2274"/>
      <c r="W45" s="1096"/>
      <c r="X45" s="2390"/>
      <c r="Y45" s="2382" t="s">
        <v>467</v>
      </c>
      <c r="Z45" s="2335" t="s">
        <v>468</v>
      </c>
      <c r="AA45" s="2385"/>
      <c r="AB45" s="2336"/>
      <c r="AC45" s="2360"/>
      <c r="AD45" s="2677"/>
      <c r="AE45" s="2381"/>
      <c r="AF45" s="2343"/>
      <c r="AG45" s="2390"/>
      <c r="AH45" s="2382" t="s">
        <v>467</v>
      </c>
      <c r="AI45" s="2335" t="s">
        <v>468</v>
      </c>
      <c r="AJ45" s="2385"/>
      <c r="AK45" s="2336"/>
      <c r="AL45" s="2360"/>
      <c r="AM45" s="2677"/>
      <c r="AN45" s="2381"/>
      <c r="AO45" s="2343"/>
      <c r="AP45" s="4976"/>
      <c r="AQ45" s="4977" t="s">
        <v>467</v>
      </c>
      <c r="AR45" s="5402" t="s">
        <v>468</v>
      </c>
      <c r="AS45" s="4978"/>
      <c r="AT45" s="5817"/>
      <c r="AU45" s="4622"/>
      <c r="AV45" s="5040"/>
      <c r="AW45" s="4980"/>
      <c r="AX45" s="3987"/>
      <c r="AY45" s="4976"/>
      <c r="AZ45" s="4977" t="s">
        <v>467</v>
      </c>
      <c r="BA45" s="5402" t="s">
        <v>468</v>
      </c>
      <c r="BB45" s="4978"/>
      <c r="BC45" s="5817"/>
      <c r="BD45" s="4622"/>
      <c r="BE45" s="5040"/>
      <c r="BF45" s="4980"/>
      <c r="BG45" s="3987"/>
      <c r="BH45" s="4976"/>
      <c r="BI45" s="4977" t="s">
        <v>467</v>
      </c>
      <c r="BJ45" s="5402" t="s">
        <v>468</v>
      </c>
      <c r="BK45" s="4978"/>
      <c r="BL45" s="5817"/>
      <c r="BM45" s="4622"/>
      <c r="BN45" s="5040"/>
      <c r="BO45" s="4980"/>
      <c r="BP45" s="3987"/>
      <c r="BQ45" s="4976"/>
      <c r="BR45" s="4977" t="s">
        <v>467</v>
      </c>
      <c r="BS45" s="5402" t="s">
        <v>468</v>
      </c>
      <c r="BT45" s="4978"/>
      <c r="BU45" s="5817"/>
      <c r="BV45" s="4622"/>
      <c r="BW45" s="5040"/>
      <c r="BX45" s="4980"/>
      <c r="BY45" s="3987"/>
      <c r="BZ45" s="4976"/>
      <c r="CA45" s="4977" t="s">
        <v>467</v>
      </c>
      <c r="CB45" s="5402" t="s">
        <v>468</v>
      </c>
      <c r="CC45" s="4978"/>
      <c r="CD45" s="5817"/>
      <c r="CE45" s="4622"/>
      <c r="CF45" s="5040"/>
      <c r="CG45" s="4980"/>
      <c r="CH45" s="3987"/>
      <c r="CI45" s="4976"/>
      <c r="CJ45" s="4977" t="s">
        <v>467</v>
      </c>
      <c r="CK45" s="5402" t="s">
        <v>468</v>
      </c>
      <c r="CL45" s="4978"/>
      <c r="CM45" s="5817"/>
      <c r="CN45" s="4622"/>
      <c r="CO45" s="5040"/>
      <c r="CP45" s="4980"/>
      <c r="CQ45" s="3987"/>
      <c r="CR45" s="4976"/>
      <c r="CS45" s="4977" t="s">
        <v>467</v>
      </c>
      <c r="CT45" s="5402" t="s">
        <v>468</v>
      </c>
      <c r="CU45" s="4978"/>
      <c r="CV45" s="5817"/>
      <c r="CW45" s="4622"/>
      <c r="CX45" s="5040"/>
      <c r="CY45" s="4980"/>
      <c r="CZ45" s="6538"/>
      <c r="DA45" s="2346"/>
      <c r="DB45" s="2192"/>
      <c r="DH45" s="1220">
        <v>14</v>
      </c>
    </row>
    <row customHeight="1" ht="27.299999999999997">
      <c r="R46" s="441"/>
      <c r="S46" s="441"/>
      <c r="T46" s="441"/>
      <c r="U46" s="2338"/>
      <c r="V46" s="2274"/>
      <c r="W46" s="1096"/>
      <c r="X46" s="2390"/>
      <c r="Y46" s="2383"/>
      <c r="Z46" s="2382" t="s">
        <v>469</v>
      </c>
      <c r="AA46" s="2335" t="s">
        <v>470</v>
      </c>
      <c r="AB46" s="2336"/>
      <c r="AC46" s="2382" t="s">
        <v>452</v>
      </c>
      <c r="AD46" s="2386" t="s">
        <v>453</v>
      </c>
      <c r="AE46" s="2387"/>
      <c r="AF46" s="2343"/>
      <c r="AG46" s="2390"/>
      <c r="AH46" s="2383"/>
      <c r="AI46" s="2382" t="s">
        <v>469</v>
      </c>
      <c r="AJ46" s="2335" t="s">
        <v>470</v>
      </c>
      <c r="AK46" s="2336"/>
      <c r="AL46" s="2382" t="s">
        <v>452</v>
      </c>
      <c r="AM46" s="2386" t="s">
        <v>453</v>
      </c>
      <c r="AN46" s="2387"/>
      <c r="AO46" s="2343"/>
      <c r="AP46" s="4976"/>
      <c r="AQ46" s="5793"/>
      <c r="AR46" s="4977" t="s">
        <v>469</v>
      </c>
      <c r="AS46" s="5402" t="s">
        <v>470</v>
      </c>
      <c r="AT46" s="5817"/>
      <c r="AU46" s="4977" t="s">
        <v>452</v>
      </c>
      <c r="AV46" s="4982" t="s">
        <v>453</v>
      </c>
      <c r="AW46" s="4983"/>
      <c r="AX46" s="3987"/>
      <c r="AY46" s="4976"/>
      <c r="AZ46" s="5793"/>
      <c r="BA46" s="4977" t="s">
        <v>469</v>
      </c>
      <c r="BB46" s="5402" t="s">
        <v>470</v>
      </c>
      <c r="BC46" s="5817"/>
      <c r="BD46" s="4977" t="s">
        <v>452</v>
      </c>
      <c r="BE46" s="4982" t="s">
        <v>453</v>
      </c>
      <c r="BF46" s="4983"/>
      <c r="BG46" s="3987"/>
      <c r="BH46" s="4976"/>
      <c r="BI46" s="5793"/>
      <c r="BJ46" s="4977" t="s">
        <v>469</v>
      </c>
      <c r="BK46" s="5402" t="s">
        <v>470</v>
      </c>
      <c r="BL46" s="5817"/>
      <c r="BM46" s="4977" t="s">
        <v>452</v>
      </c>
      <c r="BN46" s="4982" t="s">
        <v>453</v>
      </c>
      <c r="BO46" s="4983"/>
      <c r="BP46" s="3987"/>
      <c r="BQ46" s="4976"/>
      <c r="BR46" s="5793"/>
      <c r="BS46" s="4977" t="s">
        <v>469</v>
      </c>
      <c r="BT46" s="5402" t="s">
        <v>470</v>
      </c>
      <c r="BU46" s="5817"/>
      <c r="BV46" s="4977" t="s">
        <v>452</v>
      </c>
      <c r="BW46" s="4982" t="s">
        <v>453</v>
      </c>
      <c r="BX46" s="4983"/>
      <c r="BY46" s="3987"/>
      <c r="BZ46" s="4976"/>
      <c r="CA46" s="5793"/>
      <c r="CB46" s="4977" t="s">
        <v>469</v>
      </c>
      <c r="CC46" s="5402" t="s">
        <v>470</v>
      </c>
      <c r="CD46" s="5817"/>
      <c r="CE46" s="4977" t="s">
        <v>452</v>
      </c>
      <c r="CF46" s="4982" t="s">
        <v>453</v>
      </c>
      <c r="CG46" s="4983"/>
      <c r="CH46" s="3987"/>
      <c r="CI46" s="4976"/>
      <c r="CJ46" s="5793"/>
      <c r="CK46" s="4977" t="s">
        <v>469</v>
      </c>
      <c r="CL46" s="5402" t="s">
        <v>470</v>
      </c>
      <c r="CM46" s="5817"/>
      <c r="CN46" s="4977" t="s">
        <v>452</v>
      </c>
      <c r="CO46" s="4982" t="s">
        <v>453</v>
      </c>
      <c r="CP46" s="4983"/>
      <c r="CQ46" s="3987"/>
      <c r="CR46" s="4976"/>
      <c r="CS46" s="5793"/>
      <c r="CT46" s="4977" t="s">
        <v>469</v>
      </c>
      <c r="CU46" s="5402" t="s">
        <v>470</v>
      </c>
      <c r="CV46" s="5817"/>
      <c r="CW46" s="4977" t="s">
        <v>452</v>
      </c>
      <c r="CX46" s="4982" t="s">
        <v>453</v>
      </c>
      <c r="CY46" s="4983"/>
      <c r="CZ46" s="6538"/>
      <c r="DA46" s="2346"/>
      <c r="DB46" s="2192"/>
      <c r="DH46" s="1220">
        <v>26</v>
      </c>
    </row>
    <row customHeight="1" ht="18.333333333333332">
      <c r="A47" s="1324"/>
      <c r="B47" s="1324" t="s">
        <v>138</v>
      </c>
      <c r="C47" s="1324" t="s">
        <v>139</v>
      </c>
      <c r="D47" s="1324" t="s">
        <v>140</v>
      </c>
      <c r="E47" s="1375" t="s">
        <v>443</v>
      </c>
      <c r="F47" s="1375" t="s">
        <v>444</v>
      </c>
      <c r="G47" s="1375" t="s">
        <v>445</v>
      </c>
      <c r="H47" s="1375" t="s">
        <v>446</v>
      </c>
      <c r="I47" s="1375" t="s">
        <v>447</v>
      </c>
      <c r="J47" s="1375" t="s">
        <v>448</v>
      </c>
      <c r="K47" s="1375" t="s">
        <v>449</v>
      </c>
      <c r="L47" s="1375" t="s">
        <v>471</v>
      </c>
      <c r="M47" s="1375" t="s">
        <v>424</v>
      </c>
      <c r="R47" s="441"/>
      <c r="S47" s="441"/>
      <c r="T47" s="441"/>
      <c r="U47" s="2338"/>
      <c r="V47" s="2274"/>
      <c r="W47" s="367"/>
      <c r="X47" s="2360"/>
      <c r="Y47" s="2384"/>
      <c r="Z47" s="2384"/>
      <c r="AA47" s="1287" t="s">
        <v>472</v>
      </c>
      <c r="AB47" s="1287" t="s">
        <v>473</v>
      </c>
      <c r="AC47" s="2384"/>
      <c r="AD47" s="2388"/>
      <c r="AE47" s="2389"/>
      <c r="AF47" s="2344"/>
      <c r="AG47" s="2360"/>
      <c r="AH47" s="2384"/>
      <c r="AI47" s="2384"/>
      <c r="AJ47" s="1287" t="s">
        <v>472</v>
      </c>
      <c r="AK47" s="1287" t="s">
        <v>473</v>
      </c>
      <c r="AL47" s="2384"/>
      <c r="AM47" s="2388"/>
      <c r="AN47" s="2389"/>
      <c r="AO47" s="2344"/>
      <c r="AP47" s="4622"/>
      <c r="AQ47" s="6129"/>
      <c r="AR47" s="6129"/>
      <c r="AS47" s="6456" t="s">
        <v>472</v>
      </c>
      <c r="AT47" s="6456" t="s">
        <v>473</v>
      </c>
      <c r="AU47" s="6129"/>
      <c r="AV47" s="4985"/>
      <c r="AW47" s="4986"/>
      <c r="AX47" s="5113"/>
      <c r="AY47" s="4622"/>
      <c r="AZ47" s="6129"/>
      <c r="BA47" s="6129"/>
      <c r="BB47" s="6456" t="s">
        <v>472</v>
      </c>
      <c r="BC47" s="6456" t="s">
        <v>473</v>
      </c>
      <c r="BD47" s="6129"/>
      <c r="BE47" s="4985"/>
      <c r="BF47" s="4986"/>
      <c r="BG47" s="5113"/>
      <c r="BH47" s="4622"/>
      <c r="BI47" s="6129"/>
      <c r="BJ47" s="6129"/>
      <c r="BK47" s="6456" t="s">
        <v>472</v>
      </c>
      <c r="BL47" s="6456" t="s">
        <v>473</v>
      </c>
      <c r="BM47" s="6129"/>
      <c r="BN47" s="4985"/>
      <c r="BO47" s="4986"/>
      <c r="BP47" s="5113"/>
      <c r="BQ47" s="4622"/>
      <c r="BR47" s="6129"/>
      <c r="BS47" s="6129"/>
      <c r="BT47" s="6456" t="s">
        <v>472</v>
      </c>
      <c r="BU47" s="6456" t="s">
        <v>473</v>
      </c>
      <c r="BV47" s="6129"/>
      <c r="BW47" s="4985"/>
      <c r="BX47" s="4986"/>
      <c r="BY47" s="5113"/>
      <c r="BZ47" s="4622"/>
      <c r="CA47" s="6129"/>
      <c r="CB47" s="6129"/>
      <c r="CC47" s="6456" t="s">
        <v>472</v>
      </c>
      <c r="CD47" s="6456" t="s">
        <v>473</v>
      </c>
      <c r="CE47" s="6129"/>
      <c r="CF47" s="4985"/>
      <c r="CG47" s="4986"/>
      <c r="CH47" s="5113"/>
      <c r="CI47" s="4622"/>
      <c r="CJ47" s="6129"/>
      <c r="CK47" s="6129"/>
      <c r="CL47" s="6456" t="s">
        <v>472</v>
      </c>
      <c r="CM47" s="6456" t="s">
        <v>473</v>
      </c>
      <c r="CN47" s="6129"/>
      <c r="CO47" s="4985"/>
      <c r="CP47" s="4986"/>
      <c r="CQ47" s="5113"/>
      <c r="CR47" s="4622"/>
      <c r="CS47" s="6129"/>
      <c r="CT47" s="6129"/>
      <c r="CU47" s="6456" t="s">
        <v>472</v>
      </c>
      <c r="CV47" s="6456" t="s">
        <v>473</v>
      </c>
      <c r="CW47" s="6129"/>
      <c r="CX47" s="4985"/>
      <c r="CY47" s="4986"/>
      <c r="CZ47" s="6539"/>
      <c r="DA47" s="2347"/>
      <c r="DB47" s="2192"/>
      <c r="DH47" s="1220">
        <v>62</v>
      </c>
    </row>
    <row s="4600"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6457">
        <f>OFFSET(AP48,0,-1)+1</f>
        <v>6</v>
      </c>
      <c r="AQ48" s="4626"/>
      <c r="AR48" s="4626"/>
      <c r="AS48" s="4626">
        <f>OFFSET(AS48,0,-1)+1</f>
        <v>1</v>
      </c>
      <c r="AT48" s="4626">
        <f>OFFSET(AT48,0,-1)+1</f>
        <v>2</v>
      </c>
      <c r="AU48" s="6457">
        <f>OFFSET(AU48,0,-1)+1</f>
        <v>3</v>
      </c>
      <c r="AV48" s="6457">
        <f>OFFSET(AV48,0,-1)+1</f>
        <v>4</v>
      </c>
      <c r="AW48" s="6457"/>
      <c r="AX48" s="6457">
        <f>OFFSET(AX48,0,-2)+1</f>
        <v>5</v>
      </c>
      <c r="AY48" s="6457">
        <f>OFFSET(AY48,0,-1)+1</f>
        <v>6</v>
      </c>
      <c r="AZ48" s="4626"/>
      <c r="BA48" s="4626"/>
      <c r="BB48" s="4626">
        <f>OFFSET(BB48,0,-1)+1</f>
        <v>1</v>
      </c>
      <c r="BC48" s="4626">
        <f>OFFSET(BC48,0,-1)+1</f>
        <v>2</v>
      </c>
      <c r="BD48" s="6457">
        <f>OFFSET(BD48,0,-1)+1</f>
        <v>3</v>
      </c>
      <c r="BE48" s="6457">
        <f>OFFSET(BE48,0,-1)+1</f>
        <v>4</v>
      </c>
      <c r="BF48" s="6457"/>
      <c r="BG48" s="6457">
        <f>OFFSET(BG48,0,-2)+1</f>
        <v>5</v>
      </c>
      <c r="BH48" s="6457">
        <f>OFFSET(BH48,0,-1)+1</f>
        <v>6</v>
      </c>
      <c r="BI48" s="4626"/>
      <c r="BJ48" s="4626"/>
      <c r="BK48" s="4626">
        <f>OFFSET(BK48,0,-1)+1</f>
        <v>1</v>
      </c>
      <c r="BL48" s="4626">
        <f>OFFSET(BL48,0,-1)+1</f>
        <v>2</v>
      </c>
      <c r="BM48" s="6457">
        <f>OFFSET(BM48,0,-1)+1</f>
        <v>3</v>
      </c>
      <c r="BN48" s="6457">
        <f>OFFSET(BN48,0,-1)+1</f>
        <v>4</v>
      </c>
      <c r="BO48" s="6457"/>
      <c r="BP48" s="6457">
        <f>OFFSET(BP48,0,-2)+1</f>
        <v>5</v>
      </c>
      <c r="BQ48" s="6457">
        <f>OFFSET(BQ48,0,-1)+1</f>
        <v>6</v>
      </c>
      <c r="BR48" s="4626"/>
      <c r="BS48" s="4626"/>
      <c r="BT48" s="4626">
        <f>OFFSET(BT48,0,-1)+1</f>
        <v>1</v>
      </c>
      <c r="BU48" s="4626">
        <f>OFFSET(BU48,0,-1)+1</f>
        <v>2</v>
      </c>
      <c r="BV48" s="6457">
        <f>OFFSET(BV48,0,-1)+1</f>
        <v>3</v>
      </c>
      <c r="BW48" s="6457">
        <f>OFFSET(BW48,0,-1)+1</f>
        <v>4</v>
      </c>
      <c r="BX48" s="6457"/>
      <c r="BY48" s="6457">
        <f>OFFSET(BY48,0,-2)+1</f>
        <v>5</v>
      </c>
      <c r="BZ48" s="6457">
        <f>OFFSET(BZ48,0,-1)+1</f>
        <v>6</v>
      </c>
      <c r="CA48" s="4626"/>
      <c r="CB48" s="4626"/>
      <c r="CC48" s="4626">
        <f>OFFSET(CC48,0,-1)+1</f>
        <v>1</v>
      </c>
      <c r="CD48" s="4626">
        <f>OFFSET(CD48,0,-1)+1</f>
        <v>2</v>
      </c>
      <c r="CE48" s="6457">
        <f>OFFSET(CE48,0,-1)+1</f>
        <v>3</v>
      </c>
      <c r="CF48" s="6457">
        <f>OFFSET(CF48,0,-1)+1</f>
        <v>4</v>
      </c>
      <c r="CG48" s="6457"/>
      <c r="CH48" s="6457">
        <f>OFFSET(CH48,0,-2)+1</f>
        <v>5</v>
      </c>
      <c r="CI48" s="6457">
        <f>OFFSET(CI48,0,-1)+1</f>
        <v>6</v>
      </c>
      <c r="CJ48" s="4626"/>
      <c r="CK48" s="4626"/>
      <c r="CL48" s="4626">
        <f>OFFSET(CL48,0,-1)+1</f>
        <v>1</v>
      </c>
      <c r="CM48" s="4626">
        <f>OFFSET(CM48,0,-1)+1</f>
        <v>2</v>
      </c>
      <c r="CN48" s="6457">
        <f>OFFSET(CN48,0,-1)+1</f>
        <v>3</v>
      </c>
      <c r="CO48" s="6457">
        <f>OFFSET(CO48,0,-1)+1</f>
        <v>4</v>
      </c>
      <c r="CP48" s="6457"/>
      <c r="CQ48" s="6457">
        <f>OFFSET(CQ48,0,-2)+1</f>
        <v>5</v>
      </c>
      <c r="CR48" s="6457">
        <f>OFFSET(CR48,0,-1)+1</f>
        <v>6</v>
      </c>
      <c r="CS48" s="4626"/>
      <c r="CT48" s="4626"/>
      <c r="CU48" s="4626">
        <f>OFFSET(CU48,0,-1)+1</f>
        <v>1</v>
      </c>
      <c r="CV48" s="4626">
        <f>OFFSET(CV48,0,-1)+1</f>
        <v>2</v>
      </c>
      <c r="CW48" s="6457">
        <f>OFFSET(CW48,0,-1)+1</f>
        <v>3</v>
      </c>
      <c r="CX48" s="6457">
        <f>OFFSET(CX48,0,-1)+1</f>
        <v>4</v>
      </c>
      <c r="CY48" s="6457"/>
      <c r="CZ48" s="6540">
        <f>OFFSET(CZ48,0,-2)+1</f>
        <v>5</v>
      </c>
      <c r="DA48" s="1310">
        <f>OFFSET(DA48,0,-1)</f>
        <v>5</v>
      </c>
      <c r="DB48" s="1400">
        <f>OFFSET(DB48,0,-1)+1</f>
        <v>6</v>
      </c>
      <c r="DC48" s="576"/>
      <c r="DD48" s="576"/>
      <c r="DE48" s="576"/>
      <c r="DF48" s="576"/>
      <c r="DG48" s="576"/>
      <c r="DH48" s="561">
        <v>0</v>
      </c>
    </row>
    <row customHeight="1" ht="9.999999999999998">
      <c r="A49" s="1332" t="s">
        <v>185</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1</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3781"/>
      <c r="AQ49" s="5092"/>
      <c r="AR49" s="5092"/>
      <c r="AS49" s="5092"/>
      <c r="AT49" s="5092"/>
      <c r="AU49" s="5092"/>
      <c r="AV49" s="5092"/>
      <c r="AW49" s="5092"/>
      <c r="AX49" s="3783"/>
      <c r="AY49" s="3781"/>
      <c r="AZ49" s="5092"/>
      <c r="BA49" s="5092"/>
      <c r="BB49" s="5092"/>
      <c r="BC49" s="5092"/>
      <c r="BD49" s="5092"/>
      <c r="BE49" s="5092"/>
      <c r="BF49" s="5092"/>
      <c r="BG49" s="3783"/>
      <c r="BH49" s="3781"/>
      <c r="BI49" s="5092"/>
      <c r="BJ49" s="5092"/>
      <c r="BK49" s="5092"/>
      <c r="BL49" s="5092"/>
      <c r="BM49" s="5092"/>
      <c r="BN49" s="5092"/>
      <c r="BO49" s="5092"/>
      <c r="BP49" s="3783"/>
      <c r="BQ49" s="3781"/>
      <c r="BR49" s="5092"/>
      <c r="BS49" s="5092"/>
      <c r="BT49" s="5092"/>
      <c r="BU49" s="5092"/>
      <c r="BV49" s="5092"/>
      <c r="BW49" s="5092"/>
      <c r="BX49" s="5092"/>
      <c r="BY49" s="3783"/>
      <c r="BZ49" s="3781"/>
      <c r="CA49" s="5092"/>
      <c r="CB49" s="5092"/>
      <c r="CC49" s="5092"/>
      <c r="CD49" s="5092"/>
      <c r="CE49" s="5092"/>
      <c r="CF49" s="5092"/>
      <c r="CG49" s="5092"/>
      <c r="CH49" s="3783"/>
      <c r="CI49" s="3781"/>
      <c r="CJ49" s="5092"/>
      <c r="CK49" s="5092"/>
      <c r="CL49" s="5092"/>
      <c r="CM49" s="5092"/>
      <c r="CN49" s="5092"/>
      <c r="CO49" s="5092"/>
      <c r="CP49" s="5092"/>
      <c r="CQ49" s="3783"/>
      <c r="CR49" s="3781"/>
      <c r="CS49" s="5092"/>
      <c r="CT49" s="5092"/>
      <c r="CU49" s="5092"/>
      <c r="CV49" s="5092"/>
      <c r="CW49" s="5092"/>
      <c r="CX49" s="5092"/>
      <c r="CY49" s="5092"/>
      <c r="CZ49" s="6521"/>
      <c r="DA49" s="2309"/>
      <c r="DB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D49" s="565"/>
      <c r="DE49" s="565" t="str">
        <f>IF(V49="","",V49)</f>
        <v>Наименование тарифа</v>
      </c>
      <c r="DF49" s="565"/>
      <c r="DG49" s="565"/>
      <c r="DH49" s="1220">
        <v>21</v>
      </c>
    </row>
    <row customHeight="1" ht="11.666666666666666">
      <c r="A50" s="1332" t="s">
        <v>185</v>
      </c>
      <c r="B50" s="1332" t="s">
        <v>186</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1.1</v>
      </c>
      <c r="V50" s="373" t="s">
        <v>406</v>
      </c>
      <c r="W50" s="365"/>
      <c r="X50" s="2307"/>
      <c r="Y50" s="2308"/>
      <c r="Z50" s="2308"/>
      <c r="AA50" s="2308"/>
      <c r="AB50" s="2308"/>
      <c r="AC50" s="2308"/>
      <c r="AD50" s="2308"/>
      <c r="AE50" s="2308"/>
      <c r="AF50" s="2309"/>
      <c r="AG50" s="2307" t="str">
        <f>INDEX(PT_DIFFERENTIATION_TER,MATCH(B50,PT_DIFFERENTIATION_TER_ID,0))</f>
        <v>без дифференциации</v>
      </c>
      <c r="AH50" s="2308"/>
      <c r="AI50" s="2308"/>
      <c r="AJ50" s="2308"/>
      <c r="AK50" s="2308"/>
      <c r="AL50" s="2308"/>
      <c r="AM50" s="2308"/>
      <c r="AN50" s="2308"/>
      <c r="AO50" s="2308"/>
      <c r="AP50" s="3781"/>
      <c r="AQ50" s="5092"/>
      <c r="AR50" s="5092"/>
      <c r="AS50" s="5092"/>
      <c r="AT50" s="5092"/>
      <c r="AU50" s="5092"/>
      <c r="AV50" s="5092"/>
      <c r="AW50" s="5092"/>
      <c r="AX50" s="3783"/>
      <c r="AY50" s="3781"/>
      <c r="AZ50" s="5092"/>
      <c r="BA50" s="5092"/>
      <c r="BB50" s="5092"/>
      <c r="BC50" s="5092"/>
      <c r="BD50" s="5092"/>
      <c r="BE50" s="5092"/>
      <c r="BF50" s="5092"/>
      <c r="BG50" s="3783"/>
      <c r="BH50" s="3781"/>
      <c r="BI50" s="5092"/>
      <c r="BJ50" s="5092"/>
      <c r="BK50" s="5092"/>
      <c r="BL50" s="5092"/>
      <c r="BM50" s="5092"/>
      <c r="BN50" s="5092"/>
      <c r="BO50" s="5092"/>
      <c r="BP50" s="3783"/>
      <c r="BQ50" s="3781"/>
      <c r="BR50" s="5092"/>
      <c r="BS50" s="5092"/>
      <c r="BT50" s="5092"/>
      <c r="BU50" s="5092"/>
      <c r="BV50" s="5092"/>
      <c r="BW50" s="5092"/>
      <c r="BX50" s="5092"/>
      <c r="BY50" s="3783"/>
      <c r="BZ50" s="3781"/>
      <c r="CA50" s="5092"/>
      <c r="CB50" s="5092"/>
      <c r="CC50" s="5092"/>
      <c r="CD50" s="5092"/>
      <c r="CE50" s="5092"/>
      <c r="CF50" s="5092"/>
      <c r="CG50" s="5092"/>
      <c r="CH50" s="3783"/>
      <c r="CI50" s="3781"/>
      <c r="CJ50" s="5092"/>
      <c r="CK50" s="5092"/>
      <c r="CL50" s="5092"/>
      <c r="CM50" s="5092"/>
      <c r="CN50" s="5092"/>
      <c r="CO50" s="5092"/>
      <c r="CP50" s="5092"/>
      <c r="CQ50" s="3783"/>
      <c r="CR50" s="3781"/>
      <c r="CS50" s="5092"/>
      <c r="CT50" s="5092"/>
      <c r="CU50" s="5092"/>
      <c r="CV50" s="5092"/>
      <c r="CW50" s="5092"/>
      <c r="CX50" s="5092"/>
      <c r="CY50" s="5092"/>
      <c r="CZ50" s="6521"/>
      <c r="DA50" s="2309"/>
      <c r="DB50" s="1323" t="s">
        <v>407</v>
      </c>
      <c r="DD50" s="565"/>
      <c r="DE50" s="565" t="str">
        <f>IF(V50="","",V50)</f>
        <v>Территория действия тарифа</v>
      </c>
      <c r="DF50" s="565"/>
      <c r="DG50" s="565"/>
      <c r="DH50" s="1220">
        <v>21</v>
      </c>
    </row>
    <row customHeight="1" ht="9.999999999999998">
      <c r="A51" s="1332" t="s">
        <v>185</v>
      </c>
      <c r="B51" s="1332" t="s">
        <v>186</v>
      </c>
      <c r="C51" s="1332" t="s">
        <v>187</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1.1.1</v>
      </c>
      <c r="V51" s="374" t="s">
        <v>408</v>
      </c>
      <c r="W51" s="365"/>
      <c r="X51" s="2307"/>
      <c r="Y51" s="2308"/>
      <c r="Z51" s="2308"/>
      <c r="AA51" s="2308"/>
      <c r="AB51" s="2308"/>
      <c r="AC51" s="2308"/>
      <c r="AD51" s="2308"/>
      <c r="AE51" s="2308"/>
      <c r="AF51" s="2309"/>
      <c r="AG51" s="2307" t="str">
        <f>INDEX(PT_DIFFERENTIATION_CS,MATCH(C51,PT_DIFFERENTIATION_CS_ID,0))</f>
        <v>без дифференциации</v>
      </c>
      <c r="AH51" s="2308"/>
      <c r="AI51" s="2308"/>
      <c r="AJ51" s="2308"/>
      <c r="AK51" s="2308"/>
      <c r="AL51" s="2308"/>
      <c r="AM51" s="2308"/>
      <c r="AN51" s="2308"/>
      <c r="AO51" s="2308"/>
      <c r="AP51" s="3781"/>
      <c r="AQ51" s="5092"/>
      <c r="AR51" s="5092"/>
      <c r="AS51" s="5092"/>
      <c r="AT51" s="5092"/>
      <c r="AU51" s="5092"/>
      <c r="AV51" s="5092"/>
      <c r="AW51" s="5092"/>
      <c r="AX51" s="3783"/>
      <c r="AY51" s="3781"/>
      <c r="AZ51" s="5092"/>
      <c r="BA51" s="5092"/>
      <c r="BB51" s="5092"/>
      <c r="BC51" s="5092"/>
      <c r="BD51" s="5092"/>
      <c r="BE51" s="5092"/>
      <c r="BF51" s="5092"/>
      <c r="BG51" s="3783"/>
      <c r="BH51" s="3781"/>
      <c r="BI51" s="5092"/>
      <c r="BJ51" s="5092"/>
      <c r="BK51" s="5092"/>
      <c r="BL51" s="5092"/>
      <c r="BM51" s="5092"/>
      <c r="BN51" s="5092"/>
      <c r="BO51" s="5092"/>
      <c r="BP51" s="3783"/>
      <c r="BQ51" s="3781"/>
      <c r="BR51" s="5092"/>
      <c r="BS51" s="5092"/>
      <c r="BT51" s="5092"/>
      <c r="BU51" s="5092"/>
      <c r="BV51" s="5092"/>
      <c r="BW51" s="5092"/>
      <c r="BX51" s="5092"/>
      <c r="BY51" s="3783"/>
      <c r="BZ51" s="3781"/>
      <c r="CA51" s="5092"/>
      <c r="CB51" s="5092"/>
      <c r="CC51" s="5092"/>
      <c r="CD51" s="5092"/>
      <c r="CE51" s="5092"/>
      <c r="CF51" s="5092"/>
      <c r="CG51" s="5092"/>
      <c r="CH51" s="3783"/>
      <c r="CI51" s="3781"/>
      <c r="CJ51" s="5092"/>
      <c r="CK51" s="5092"/>
      <c r="CL51" s="5092"/>
      <c r="CM51" s="5092"/>
      <c r="CN51" s="5092"/>
      <c r="CO51" s="5092"/>
      <c r="CP51" s="5092"/>
      <c r="CQ51" s="3783"/>
      <c r="CR51" s="3781"/>
      <c r="CS51" s="5092"/>
      <c r="CT51" s="5092"/>
      <c r="CU51" s="5092"/>
      <c r="CV51" s="5092"/>
      <c r="CW51" s="5092"/>
      <c r="CX51" s="5092"/>
      <c r="CY51" s="5092"/>
      <c r="CZ51" s="6521"/>
      <c r="DA51" s="2309"/>
      <c r="DB51" s="1323" t="s">
        <v>409</v>
      </c>
      <c r="DD51" s="565"/>
      <c r="DE51" s="565" t="str">
        <f>IF(V51="","",V51)</f>
        <v>Наименование системы теплоснабжения </v>
      </c>
      <c r="DF51" s="565"/>
      <c r="DG51" s="565"/>
      <c r="DH51" s="1220">
        <v>23</v>
      </c>
    </row>
    <row customHeight="1" ht="9.999999999999998">
      <c r="A52" s="1332" t="s">
        <v>185</v>
      </c>
      <c r="B52" s="1332" t="s">
        <v>186</v>
      </c>
      <c r="C52" s="1332" t="s">
        <v>187</v>
      </c>
      <c r="D52" s="1332" t="s">
        <v>188</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1.1.1.1</v>
      </c>
      <c r="V52" s="375" t="s">
        <v>410</v>
      </c>
      <c r="W52" s="365"/>
      <c r="X52" s="2307"/>
      <c r="Y52" s="2308"/>
      <c r="Z52" s="2308"/>
      <c r="AA52" s="2308"/>
      <c r="AB52" s="2308"/>
      <c r="AC52" s="2308"/>
      <c r="AD52" s="2308"/>
      <c r="AE52" s="2308"/>
      <c r="AF52" s="2309"/>
      <c r="AG52" s="2307" t="str">
        <f>INDEX(PT_DIFFERENTIATION_IST_TE,MATCH(D52,PT_DIFFERENTIATION_IST_TE_ID,0))</f>
        <v>без дифференциации</v>
      </c>
      <c r="AH52" s="2308"/>
      <c r="AI52" s="2308"/>
      <c r="AJ52" s="2308"/>
      <c r="AK52" s="2308"/>
      <c r="AL52" s="2308"/>
      <c r="AM52" s="2308"/>
      <c r="AN52" s="2308"/>
      <c r="AO52" s="2308"/>
      <c r="AP52" s="3781"/>
      <c r="AQ52" s="5092"/>
      <c r="AR52" s="5092"/>
      <c r="AS52" s="5092"/>
      <c r="AT52" s="5092"/>
      <c r="AU52" s="5092"/>
      <c r="AV52" s="5092"/>
      <c r="AW52" s="5092"/>
      <c r="AX52" s="3783"/>
      <c r="AY52" s="3781"/>
      <c r="AZ52" s="5092"/>
      <c r="BA52" s="5092"/>
      <c r="BB52" s="5092"/>
      <c r="BC52" s="5092"/>
      <c r="BD52" s="5092"/>
      <c r="BE52" s="5092"/>
      <c r="BF52" s="5092"/>
      <c r="BG52" s="3783"/>
      <c r="BH52" s="3781"/>
      <c r="BI52" s="5092"/>
      <c r="BJ52" s="5092"/>
      <c r="BK52" s="5092"/>
      <c r="BL52" s="5092"/>
      <c r="BM52" s="5092"/>
      <c r="BN52" s="5092"/>
      <c r="BO52" s="5092"/>
      <c r="BP52" s="3783"/>
      <c r="BQ52" s="3781"/>
      <c r="BR52" s="5092"/>
      <c r="BS52" s="5092"/>
      <c r="BT52" s="5092"/>
      <c r="BU52" s="5092"/>
      <c r="BV52" s="5092"/>
      <c r="BW52" s="5092"/>
      <c r="BX52" s="5092"/>
      <c r="BY52" s="3783"/>
      <c r="BZ52" s="3781"/>
      <c r="CA52" s="5092"/>
      <c r="CB52" s="5092"/>
      <c r="CC52" s="5092"/>
      <c r="CD52" s="5092"/>
      <c r="CE52" s="5092"/>
      <c r="CF52" s="5092"/>
      <c r="CG52" s="5092"/>
      <c r="CH52" s="3783"/>
      <c r="CI52" s="3781"/>
      <c r="CJ52" s="5092"/>
      <c r="CK52" s="5092"/>
      <c r="CL52" s="5092"/>
      <c r="CM52" s="5092"/>
      <c r="CN52" s="5092"/>
      <c r="CO52" s="5092"/>
      <c r="CP52" s="5092"/>
      <c r="CQ52" s="3783"/>
      <c r="CR52" s="3781"/>
      <c r="CS52" s="5092"/>
      <c r="CT52" s="5092"/>
      <c r="CU52" s="5092"/>
      <c r="CV52" s="5092"/>
      <c r="CW52" s="5092"/>
      <c r="CX52" s="5092"/>
      <c r="CY52" s="5092"/>
      <c r="CZ52" s="6521"/>
      <c r="DA52" s="2309"/>
      <c r="DB52" s="1323" t="s">
        <v>411</v>
      </c>
      <c r="DD52" s="565"/>
      <c r="DE52" s="565" t="str">
        <f>IF(V52="","",V52)</f>
        <v>Источник тепловой энергии  </v>
      </c>
      <c r="DF52" s="565"/>
      <c r="DG52" s="565"/>
      <c r="DH52" s="1220">
        <v>21</v>
      </c>
    </row>
    <row s="5305" customFormat="1" customHeight="1" ht="0">
      <c r="A53" s="1440" t="s">
        <v>185</v>
      </c>
      <c r="B53" s="1440" t="s">
        <v>186</v>
      </c>
      <c r="C53" s="1440" t="s">
        <v>187</v>
      </c>
      <c r="D53" s="1440" t="s">
        <v>188</v>
      </c>
      <c r="E53" s="2355"/>
      <c r="F53" s="2355"/>
      <c r="G53" s="2355"/>
      <c r="H53" s="2376"/>
      <c r="I53" s="2192" t="str">
        <f>U52&amp;".1"</f>
        <v>1.1.1.1.1</v>
      </c>
      <c r="J53" s="1440"/>
      <c r="K53" s="1440"/>
      <c r="L53" s="1440"/>
      <c r="M53" s="1446" t="s">
        <v>412</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4633"/>
      <c r="AQ53" s="5094"/>
      <c r="AR53" s="5094"/>
      <c r="AS53" s="5094"/>
      <c r="AT53" s="5094"/>
      <c r="AU53" s="5094"/>
      <c r="AV53" s="5094"/>
      <c r="AW53" s="5094"/>
      <c r="AX53" s="4635"/>
      <c r="AY53" s="4633"/>
      <c r="AZ53" s="5094"/>
      <c r="BA53" s="5094"/>
      <c r="BB53" s="5094"/>
      <c r="BC53" s="5094"/>
      <c r="BD53" s="5094"/>
      <c r="BE53" s="5094"/>
      <c r="BF53" s="5094"/>
      <c r="BG53" s="4635"/>
      <c r="BH53" s="4633"/>
      <c r="BI53" s="5094"/>
      <c r="BJ53" s="5094"/>
      <c r="BK53" s="5094"/>
      <c r="BL53" s="5094"/>
      <c r="BM53" s="5094"/>
      <c r="BN53" s="5094"/>
      <c r="BO53" s="5094"/>
      <c r="BP53" s="4635"/>
      <c r="BQ53" s="4633"/>
      <c r="BR53" s="5094"/>
      <c r="BS53" s="5094"/>
      <c r="BT53" s="5094"/>
      <c r="BU53" s="5094"/>
      <c r="BV53" s="5094"/>
      <c r="BW53" s="5094"/>
      <c r="BX53" s="5094"/>
      <c r="BY53" s="4635"/>
      <c r="BZ53" s="4633"/>
      <c r="CA53" s="5094"/>
      <c r="CB53" s="5094"/>
      <c r="CC53" s="5094"/>
      <c r="CD53" s="5094"/>
      <c r="CE53" s="5094"/>
      <c r="CF53" s="5094"/>
      <c r="CG53" s="5094"/>
      <c r="CH53" s="4635"/>
      <c r="CI53" s="4633"/>
      <c r="CJ53" s="5094"/>
      <c r="CK53" s="5094"/>
      <c r="CL53" s="5094"/>
      <c r="CM53" s="5094"/>
      <c r="CN53" s="5094"/>
      <c r="CO53" s="5094"/>
      <c r="CP53" s="5094"/>
      <c r="CQ53" s="4635"/>
      <c r="CR53" s="4633"/>
      <c r="CS53" s="5094"/>
      <c r="CT53" s="5094"/>
      <c r="CU53" s="5094"/>
      <c r="CV53" s="5094"/>
      <c r="CW53" s="5094"/>
      <c r="CX53" s="5094"/>
      <c r="CY53" s="5094"/>
      <c r="CZ53" s="6550"/>
      <c r="DA53" s="2363"/>
      <c r="DB53" s="1450"/>
      <c r="DD53" s="565"/>
      <c r="DE53" s="565" t="str">
        <f>IF(V53="","",V53)</f>
        <v/>
      </c>
      <c r="DF53" s="565"/>
      <c r="DG53" s="565"/>
      <c r="DH53" s="576">
        <v>0</v>
      </c>
    </row>
    <row customHeight="1" ht="22.049999999999997">
      <c r="A54" s="1332" t="s">
        <v>185</v>
      </c>
      <c r="B54" s="1332" t="s">
        <v>186</v>
      </c>
      <c r="C54" s="1332" t="s">
        <v>187</v>
      </c>
      <c r="D54" s="1332" t="s">
        <v>188</v>
      </c>
      <c r="E54" s="2355"/>
      <c r="F54" s="2355"/>
      <c r="G54" s="2355"/>
      <c r="H54" s="2376"/>
      <c r="I54" s="2166"/>
      <c r="J54" s="2192" t="str">
        <f>I53&amp;".1"</f>
        <v>1.1.1.1.1.1</v>
      </c>
      <c r="K54" s="1332"/>
      <c r="L54" s="1332"/>
      <c r="M54" s="1375" t="s">
        <v>415</v>
      </c>
      <c r="Q54" s="2322"/>
      <c r="R54" s="2322">
        <v>1</v>
      </c>
      <c r="S54" s="583"/>
      <c r="T54" s="422"/>
      <c r="U54" s="1401" t="str">
        <f>$J54</f>
        <v>1.1.1.1.1.1</v>
      </c>
      <c r="V54" s="351" t="s">
        <v>416</v>
      </c>
      <c r="W54" s="365"/>
      <c r="X54" s="2310"/>
      <c r="Y54" s="2311"/>
      <c r="Z54" s="2311"/>
      <c r="AA54" s="2311"/>
      <c r="AB54" s="2311"/>
      <c r="AC54" s="2300"/>
      <c r="AD54" s="2300"/>
      <c r="AE54" s="2300"/>
      <c r="AF54" s="2373"/>
      <c r="AG54" s="2310" t="s">
        <v>459</v>
      </c>
      <c r="AH54" s="2311"/>
      <c r="AI54" s="2311"/>
      <c r="AJ54" s="2311"/>
      <c r="AK54" s="2311"/>
      <c r="AL54" s="2311"/>
      <c r="AM54" s="2311"/>
      <c r="AN54" s="2311"/>
      <c r="AO54" s="2311"/>
      <c r="AP54" s="6128"/>
      <c r="AQ54" s="3787"/>
      <c r="AR54" s="3787"/>
      <c r="AS54" s="3787"/>
      <c r="AT54" s="3787"/>
      <c r="AU54" s="3566"/>
      <c r="AV54" s="3566"/>
      <c r="AW54" s="3566"/>
      <c r="AX54" s="4958"/>
      <c r="AY54" s="6128"/>
      <c r="AZ54" s="3787"/>
      <c r="BA54" s="3787"/>
      <c r="BB54" s="3787"/>
      <c r="BC54" s="3787"/>
      <c r="BD54" s="3566"/>
      <c r="BE54" s="3566"/>
      <c r="BF54" s="3566"/>
      <c r="BG54" s="4958"/>
      <c r="BH54" s="6128"/>
      <c r="BI54" s="3787"/>
      <c r="BJ54" s="3787"/>
      <c r="BK54" s="3787"/>
      <c r="BL54" s="3787"/>
      <c r="BM54" s="3566"/>
      <c r="BN54" s="3566"/>
      <c r="BO54" s="3566"/>
      <c r="BP54" s="4958"/>
      <c r="BQ54" s="6128"/>
      <c r="BR54" s="3787"/>
      <c r="BS54" s="3787"/>
      <c r="BT54" s="3787"/>
      <c r="BU54" s="3787"/>
      <c r="BV54" s="3566"/>
      <c r="BW54" s="3566"/>
      <c r="BX54" s="3566"/>
      <c r="BY54" s="4958"/>
      <c r="BZ54" s="6128"/>
      <c r="CA54" s="3787"/>
      <c r="CB54" s="3787"/>
      <c r="CC54" s="3787"/>
      <c r="CD54" s="3787"/>
      <c r="CE54" s="3566"/>
      <c r="CF54" s="3566"/>
      <c r="CG54" s="3566"/>
      <c r="CH54" s="4958"/>
      <c r="CI54" s="6128"/>
      <c r="CJ54" s="3787"/>
      <c r="CK54" s="3787"/>
      <c r="CL54" s="3787"/>
      <c r="CM54" s="3787"/>
      <c r="CN54" s="3566"/>
      <c r="CO54" s="3566"/>
      <c r="CP54" s="3566"/>
      <c r="CQ54" s="4958"/>
      <c r="CR54" s="6128"/>
      <c r="CS54" s="3787"/>
      <c r="CT54" s="3787"/>
      <c r="CU54" s="3787"/>
      <c r="CV54" s="3787"/>
      <c r="CW54" s="3566"/>
      <c r="CX54" s="3566"/>
      <c r="CY54" s="3566"/>
      <c r="CZ54" s="7152"/>
      <c r="DA54" s="2312"/>
      <c r="DB54" s="1323" t="s">
        <v>417</v>
      </c>
      <c r="DD54" s="565"/>
      <c r="DE54" s="565" t="str">
        <f>IF(V54="","",V54)</f>
        <v>Группа потребителей</v>
      </c>
      <c r="DF54" s="565"/>
      <c r="DG54" s="565"/>
      <c r="DH54" s="1220">
        <v>21</v>
      </c>
    </row>
    <row customHeight="1" ht="22.049999999999997">
      <c r="A55" s="1332" t="s">
        <v>185</v>
      </c>
      <c r="B55" s="1332" t="s">
        <v>186</v>
      </c>
      <c r="C55" s="1332" t="s">
        <v>187</v>
      </c>
      <c r="D55" s="1332" t="s">
        <v>188</v>
      </c>
      <c r="E55" s="2355"/>
      <c r="F55" s="2355"/>
      <c r="G55" s="2355"/>
      <c r="H55" s="2376"/>
      <c r="I55" s="2166"/>
      <c r="J55" s="2166"/>
      <c r="K55" s="2192" t="str">
        <f>J54&amp;".1"</f>
        <v>1.1.1.1.1.1.1</v>
      </c>
      <c r="L55" s="204"/>
      <c r="M55" s="1375" t="s">
        <v>418</v>
      </c>
      <c r="Q55" s="2322"/>
      <c r="R55" s="2322"/>
      <c r="S55" s="583">
        <v>1</v>
      </c>
      <c r="T55" s="422"/>
      <c r="U55" s="1401" t="str">
        <f>$K55</f>
        <v>1.1.1.1.1.1.1</v>
      </c>
      <c r="V55" s="1412" t="s">
        <v>458</v>
      </c>
      <c r="W55" s="365"/>
      <c r="X55" s="6293"/>
      <c r="Y55" s="6293"/>
      <c r="Z55" s="6293"/>
      <c r="AA55" s="6293"/>
      <c r="AB55" s="4724"/>
      <c r="AC55" s="4725"/>
      <c r="AD55" s="4726" t="s">
        <v>64</v>
      </c>
      <c r="AE55" s="4725"/>
      <c r="AF55" s="4726" t="s">
        <v>64</v>
      </c>
      <c r="AG55" s="1472"/>
      <c r="AH55" s="816">
        <v>74.95</v>
      </c>
      <c r="AI55" s="816">
        <v>3031.93</v>
      </c>
      <c r="AJ55" s="816"/>
      <c r="AK55" s="1322"/>
      <c r="AL55" s="6462">
        <v>46023</v>
      </c>
      <c r="AM55" s="2172" t="s">
        <v>64</v>
      </c>
      <c r="AN55" s="6462">
        <v>46295.39758101852</v>
      </c>
      <c r="AO55" s="2172" t="s">
        <v>64</v>
      </c>
      <c r="AP55" s="5178"/>
      <c r="AQ55" s="5178">
        <v>83.94</v>
      </c>
      <c r="AR55" s="5178">
        <v>3395.76</v>
      </c>
      <c r="AS55" s="5178"/>
      <c r="AT55" s="4960"/>
      <c r="AU55" s="6462">
        <v>46296.402280092596</v>
      </c>
      <c r="AV55" s="5532" t="s">
        <v>64</v>
      </c>
      <c r="AW55" s="6462">
        <v>46387.402650462966</v>
      </c>
      <c r="AX55" s="5532" t="s">
        <v>64</v>
      </c>
      <c r="AY55" s="5178"/>
      <c r="AZ55" s="5178">
        <v>74.18</v>
      </c>
      <c r="BA55" s="5178">
        <v>3000.54</v>
      </c>
      <c r="BB55" s="5178"/>
      <c r="BC55" s="4960"/>
      <c r="BD55" s="6462">
        <v>46388</v>
      </c>
      <c r="BE55" s="5532" t="s">
        <v>64</v>
      </c>
      <c r="BF55" s="6462">
        <v>46568.405856481484</v>
      </c>
      <c r="BG55" s="5532" t="s">
        <v>64</v>
      </c>
      <c r="BH55" s="5178"/>
      <c r="BI55" s="5178">
        <v>77.15</v>
      </c>
      <c r="BJ55" s="5178">
        <v>3120.57</v>
      </c>
      <c r="BK55" s="5178"/>
      <c r="BL55" s="4960"/>
      <c r="BM55" s="6462">
        <v>46569.41800925926</v>
      </c>
      <c r="BN55" s="5532" t="s">
        <v>64</v>
      </c>
      <c r="BO55" s="6462">
        <v>46752.41818287037</v>
      </c>
      <c r="BP55" s="5532" t="s">
        <v>64</v>
      </c>
      <c r="BQ55" s="5178"/>
      <c r="BR55" s="5178">
        <f>BI55</f>
        <v>77.15</v>
      </c>
      <c r="BS55" s="5178">
        <f>BJ55</f>
        <v>3120.57</v>
      </c>
      <c r="BT55" s="5178"/>
      <c r="BU55" s="4960"/>
      <c r="BV55" s="6462">
        <v>46753.410162037035</v>
      </c>
      <c r="BW55" s="5532" t="s">
        <v>64</v>
      </c>
      <c r="BX55" s="6462">
        <v>46934.410520833335</v>
      </c>
      <c r="BY55" s="5532" t="s">
        <v>64</v>
      </c>
      <c r="BZ55" s="5178"/>
      <c r="CA55" s="5178">
        <v>80.23</v>
      </c>
      <c r="CB55" s="5178">
        <v>3245.39</v>
      </c>
      <c r="CC55" s="5178"/>
      <c r="CD55" s="4960"/>
      <c r="CE55" s="6462">
        <v>46935</v>
      </c>
      <c r="CF55" s="5532" t="s">
        <v>64</v>
      </c>
      <c r="CG55" s="6462">
        <v>47118.41643518519</v>
      </c>
      <c r="CH55" s="5532" t="s">
        <v>19</v>
      </c>
      <c r="CI55" s="6293"/>
      <c r="CJ55" s="6293"/>
      <c r="CK55" s="6293"/>
      <c r="CL55" s="6293"/>
      <c r="CM55" s="4724"/>
      <c r="CN55" s="4725"/>
      <c r="CO55" s="4726" t="s">
        <v>64</v>
      </c>
      <c r="CP55" s="4725"/>
      <c r="CQ55" s="4726" t="s">
        <v>64</v>
      </c>
      <c r="CR55" s="6293"/>
      <c r="CS55" s="6293"/>
      <c r="CT55" s="6293"/>
      <c r="CU55" s="6293"/>
      <c r="CV55" s="4724"/>
      <c r="CW55" s="4725"/>
      <c r="CX55" s="4726" t="s">
        <v>64</v>
      </c>
      <c r="CY55" s="4725"/>
      <c r="CZ55" s="6554" t="s">
        <v>64</v>
      </c>
      <c r="DA55" s="1413"/>
      <c r="DB55" s="1372" t="s">
        <v>462</v>
      </c>
      <c r="DC55" s="576">
        <f>STRCHECKDATE(X57:DA57)</f>
      </c>
      <c r="DD55" s="565"/>
      <c r="DE55" s="565" t="str">
        <f>IF(V55="","",V55)</f>
        <v>вода</v>
      </c>
      <c r="DF55" s="565"/>
      <c r="DG55" s="565"/>
      <c r="DH55" s="1220">
        <v>21</v>
      </c>
    </row>
    <row customHeight="1" ht="11.549999999999999">
      <c r="A56" s="1332" t="s">
        <v>185</v>
      </c>
      <c r="B56" s="1332" t="s">
        <v>186</v>
      </c>
      <c r="C56" s="1332" t="s">
        <v>187</v>
      </c>
      <c r="D56" s="1332" t="s">
        <v>188</v>
      </c>
      <c r="E56" s="2355"/>
      <c r="F56" s="2355"/>
      <c r="G56" s="2355"/>
      <c r="H56" s="2376"/>
      <c r="I56" s="2166"/>
      <c r="J56" s="2166"/>
      <c r="K56" s="2166"/>
      <c r="L56" s="2192" t="str">
        <f>K55&amp;".1"</f>
        <v>1.1.1.1.1.1.1.1</v>
      </c>
      <c r="M56" s="1375"/>
      <c r="Q56" s="2322"/>
      <c r="R56" s="2322"/>
      <c r="S56" s="583">
        <v>1</v>
      </c>
      <c r="T56" s="422"/>
      <c r="U56" s="1401" t="str">
        <f>$L56</f>
        <v>1.1.1.1.1.1.1.1</v>
      </c>
      <c r="V56" s="1456"/>
      <c r="W56" s="365"/>
      <c r="X56" s="6293"/>
      <c r="Y56" s="6293"/>
      <c r="Z56" s="6293"/>
      <c r="AA56" s="6293"/>
      <c r="AB56" s="4724"/>
      <c r="AC56" s="4725"/>
      <c r="AD56" s="4726"/>
      <c r="AE56" s="4725"/>
      <c r="AF56" s="4726"/>
      <c r="AG56" s="1472"/>
      <c r="AH56" s="816"/>
      <c r="AI56" s="816"/>
      <c r="AJ56" s="816"/>
      <c r="AK56" s="1322"/>
      <c r="AL56" s="2374"/>
      <c r="AM56" s="2172"/>
      <c r="AN56" s="2374"/>
      <c r="AO56" s="2172"/>
      <c r="AP56" s="3790"/>
      <c r="AQ56" s="5178"/>
      <c r="AR56" s="5178"/>
      <c r="AS56" s="5178"/>
      <c r="AT56" s="4960"/>
      <c r="AU56" s="6292"/>
      <c r="AV56" s="5532"/>
      <c r="AW56" s="6292"/>
      <c r="AX56" s="5532"/>
      <c r="AY56" s="3790"/>
      <c r="AZ56" s="5178"/>
      <c r="BA56" s="5178"/>
      <c r="BB56" s="5178"/>
      <c r="BC56" s="4960"/>
      <c r="BD56" s="6292"/>
      <c r="BE56" s="5532"/>
      <c r="BF56" s="6292"/>
      <c r="BG56" s="5532"/>
      <c r="BH56" s="3790"/>
      <c r="BI56" s="5178"/>
      <c r="BJ56" s="5178"/>
      <c r="BK56" s="5178"/>
      <c r="BL56" s="4960"/>
      <c r="BM56" s="6292"/>
      <c r="BN56" s="5532"/>
      <c r="BO56" s="6292"/>
      <c r="BP56" s="5532"/>
      <c r="BQ56" s="3790"/>
      <c r="BR56" s="5178"/>
      <c r="BS56" s="5178"/>
      <c r="BT56" s="5178"/>
      <c r="BU56" s="4960"/>
      <c r="BV56" s="6292"/>
      <c r="BW56" s="5532"/>
      <c r="BX56" s="6292"/>
      <c r="BY56" s="5532"/>
      <c r="BZ56" s="3790"/>
      <c r="CA56" s="5178"/>
      <c r="CB56" s="5178"/>
      <c r="CC56" s="5178"/>
      <c r="CD56" s="4960"/>
      <c r="CE56" s="6292"/>
      <c r="CF56" s="5532"/>
      <c r="CG56" s="6292"/>
      <c r="CH56" s="5532"/>
      <c r="CI56" s="6293"/>
      <c r="CJ56" s="6293"/>
      <c r="CK56" s="6293"/>
      <c r="CL56" s="6293"/>
      <c r="CM56" s="4724"/>
      <c r="CN56" s="4725"/>
      <c r="CO56" s="4726"/>
      <c r="CP56" s="4725"/>
      <c r="CQ56" s="4726"/>
      <c r="CR56" s="6293"/>
      <c r="CS56" s="6293"/>
      <c r="CT56" s="6293"/>
      <c r="CU56" s="6293"/>
      <c r="CV56" s="4724"/>
      <c r="CW56" s="4725"/>
      <c r="CX56" s="4726"/>
      <c r="CY56" s="4725"/>
      <c r="CZ56" s="6554"/>
      <c r="DA56" s="1413"/>
      <c r="DB56" s="2318" t="s">
        <v>463</v>
      </c>
      <c r="DC56" s="576">
        <f>STRCHECKDATE(X58:DA58)</f>
      </c>
      <c r="DD56" s="565"/>
      <c r="DE56" s="565" t="str">
        <f>IF(V56="","",V56)</f>
        <v/>
      </c>
      <c r="DF56" s="565"/>
      <c r="DG56" s="565"/>
      <c r="DH56" s="1220">
        <v>11</v>
      </c>
    </row>
    <row customHeight="1" ht="0">
      <c r="A57" s="1332" t="s">
        <v>185</v>
      </c>
      <c r="B57" s="1332" t="s">
        <v>186</v>
      </c>
      <c r="C57" s="1332" t="s">
        <v>187</v>
      </c>
      <c r="D57" s="1332" t="s">
        <v>188</v>
      </c>
      <c r="E57" s="2355"/>
      <c r="F57" s="2355"/>
      <c r="G57" s="2355"/>
      <c r="H57" s="2376"/>
      <c r="I57" s="2166"/>
      <c r="J57" s="2166"/>
      <c r="K57" s="2166"/>
      <c r="L57" s="2192"/>
      <c r="M57" s="1375"/>
      <c r="Q57" s="2322"/>
      <c r="R57" s="2322"/>
      <c r="S57" s="583"/>
      <c r="T57" s="422"/>
      <c r="U57" s="1407"/>
      <c r="V57" s="365"/>
      <c r="W57" s="365"/>
      <c r="X57" s="6293"/>
      <c r="Y57" s="6293"/>
      <c r="Z57" s="6293"/>
      <c r="AA57" s="6293"/>
      <c r="AB57" s="4724"/>
      <c r="AC57" s="4725"/>
      <c r="AD57" s="4726"/>
      <c r="AE57" s="4725"/>
      <c r="AF57" s="4726"/>
      <c r="AG57" s="1447"/>
      <c r="AH57" s="390"/>
      <c r="AI57" s="390"/>
      <c r="AJ57" s="390"/>
      <c r="AK57" s="393" t="str">
        <f>AL55&amp;"-"&amp;AN55</f>
        <v>46023-46295.39758101852</v>
      </c>
      <c r="AL57" s="2374"/>
      <c r="AM57" s="2172"/>
      <c r="AN57" s="2374"/>
      <c r="AO57" s="2172"/>
      <c r="AP57" s="3790"/>
      <c r="AQ57" s="3790"/>
      <c r="AR57" s="3790"/>
      <c r="AS57" s="3790"/>
      <c r="AT57" s="4965" t="str">
        <f>AU55&amp;"-"&amp;AW55</f>
        <v>46296.402280092596-46387.402650462966</v>
      </c>
      <c r="AU57" s="6292"/>
      <c r="AV57" s="5532"/>
      <c r="AW57" s="6292"/>
      <c r="AX57" s="5532"/>
      <c r="AY57" s="3790"/>
      <c r="AZ57" s="3790"/>
      <c r="BA57" s="3790"/>
      <c r="BB57" s="3790"/>
      <c r="BC57" s="4965" t="str">
        <f>BD55&amp;"-"&amp;BF55</f>
        <v>46388-46568.405856481484</v>
      </c>
      <c r="BD57" s="6292"/>
      <c r="BE57" s="5532"/>
      <c r="BF57" s="6292"/>
      <c r="BG57" s="5532"/>
      <c r="BH57" s="3790"/>
      <c r="BI57" s="3790"/>
      <c r="BJ57" s="3790"/>
      <c r="BK57" s="3790"/>
      <c r="BL57" s="4965" t="str">
        <f>BM55&amp;"-"&amp;BO55</f>
        <v>46569.41800925926-46752.41818287037</v>
      </c>
      <c r="BM57" s="6292"/>
      <c r="BN57" s="5532"/>
      <c r="BO57" s="6292"/>
      <c r="BP57" s="5532"/>
      <c r="BQ57" s="3790"/>
      <c r="BR57" s="3790"/>
      <c r="BS57" s="3790"/>
      <c r="BT57" s="3790"/>
      <c r="BU57" s="4965" t="str">
        <f>BV55&amp;"-"&amp;BX55</f>
        <v>46753.410162037035-46934.410520833335</v>
      </c>
      <c r="BV57" s="6292"/>
      <c r="BW57" s="5532"/>
      <c r="BX57" s="6292"/>
      <c r="BY57" s="5532"/>
      <c r="BZ57" s="3790"/>
      <c r="CA57" s="3790"/>
      <c r="CB57" s="3790"/>
      <c r="CC57" s="3790"/>
      <c r="CD57" s="4965" t="str">
        <f>CE55&amp;"-"&amp;CG55</f>
        <v>46935-47118.41643518519</v>
      </c>
      <c r="CE57" s="6292"/>
      <c r="CF57" s="5532"/>
      <c r="CG57" s="6292"/>
      <c r="CH57" s="5532"/>
      <c r="CI57" s="6293"/>
      <c r="CJ57" s="6293"/>
      <c r="CK57" s="6293"/>
      <c r="CL57" s="6293"/>
      <c r="CM57" s="4724"/>
      <c r="CN57" s="4725"/>
      <c r="CO57" s="4726"/>
      <c r="CP57" s="4725"/>
      <c r="CQ57" s="4726"/>
      <c r="CR57" s="6293"/>
      <c r="CS57" s="6293"/>
      <c r="CT57" s="6293"/>
      <c r="CU57" s="6293"/>
      <c r="CV57" s="4724"/>
      <c r="CW57" s="4725"/>
      <c r="CX57" s="4726"/>
      <c r="CY57" s="4725"/>
      <c r="CZ57" s="6554"/>
      <c r="DA57" s="1414"/>
      <c r="DB57" s="2319"/>
      <c r="DD57" s="565"/>
      <c r="DE57" s="565" t="str">
        <f>IF(V57="","",V57)</f>
        <v/>
      </c>
      <c r="DF57" s="565"/>
      <c r="DG57" s="565"/>
      <c r="DH57" s="1220">
        <v>0</v>
      </c>
    </row>
    <row customHeight="1" ht="11.549999999999999">
      <c r="A58" s="1332" t="s">
        <v>185</v>
      </c>
      <c r="B58" s="1332" t="s">
        <v>186</v>
      </c>
      <c r="C58" s="1332" t="s">
        <v>187</v>
      </c>
      <c r="D58" s="1332" t="s">
        <v>188</v>
      </c>
      <c r="E58" s="2355"/>
      <c r="F58" s="2355"/>
      <c r="G58" s="2355"/>
      <c r="H58" s="2376"/>
      <c r="I58" s="2166"/>
      <c r="J58" s="2166"/>
      <c r="K58" s="2192"/>
      <c r="L58" s="1332"/>
      <c r="M58" s="1375"/>
      <c r="Q58" s="2322"/>
      <c r="R58" s="2322"/>
      <c r="S58" s="1396"/>
      <c r="T58" s="421"/>
      <c r="U58" s="1343"/>
      <c r="V58" s="353" t="s">
        <v>464</v>
      </c>
      <c r="W58" s="432"/>
      <c r="X58" s="6293"/>
      <c r="Y58" s="6293"/>
      <c r="Z58" s="6293"/>
      <c r="AA58" s="6293"/>
      <c r="AB58" s="3794" t="str">
        <f>AC55&amp;"-"&amp;AE55</f>
        <v>-</v>
      </c>
      <c r="AC58" s="4726"/>
      <c r="AD58" s="4726"/>
      <c r="AE58" s="4726"/>
      <c r="AF58" s="4726"/>
      <c r="AG58" s="432"/>
      <c r="AH58" s="432"/>
      <c r="AI58" s="432"/>
      <c r="AJ58" s="432"/>
      <c r="AK58" s="432"/>
      <c r="AL58" s="2374"/>
      <c r="AM58" s="2172"/>
      <c r="AN58" s="2374"/>
      <c r="AO58" s="2172"/>
      <c r="AP58" s="6720"/>
      <c r="AQ58" s="6721"/>
      <c r="AR58" s="6722"/>
      <c r="AS58" s="6723"/>
      <c r="AT58" s="6724"/>
      <c r="AU58" s="6292"/>
      <c r="AV58" s="5532"/>
      <c r="AW58" s="6292"/>
      <c r="AX58" s="5532"/>
      <c r="AY58" s="6725"/>
      <c r="AZ58" s="6726"/>
      <c r="BA58" s="6727"/>
      <c r="BB58" s="6728"/>
      <c r="BC58" s="6729"/>
      <c r="BD58" s="6292"/>
      <c r="BE58" s="5532"/>
      <c r="BF58" s="6292"/>
      <c r="BG58" s="5532"/>
      <c r="BH58" s="6730"/>
      <c r="BI58" s="6731"/>
      <c r="BJ58" s="6732"/>
      <c r="BK58" s="6733"/>
      <c r="BL58" s="6734"/>
      <c r="BM58" s="6292"/>
      <c r="BN58" s="5532"/>
      <c r="BO58" s="6292"/>
      <c r="BP58" s="5532"/>
      <c r="BQ58" s="6735"/>
      <c r="BR58" s="6736"/>
      <c r="BS58" s="6737"/>
      <c r="BT58" s="6738"/>
      <c r="BU58" s="6739"/>
      <c r="BV58" s="6292"/>
      <c r="BW58" s="5532"/>
      <c r="BX58" s="6292"/>
      <c r="BY58" s="5532"/>
      <c r="BZ58" s="6740"/>
      <c r="CA58" s="6741"/>
      <c r="CB58" s="6742"/>
      <c r="CC58" s="6743"/>
      <c r="CD58" s="6744"/>
      <c r="CE58" s="6292"/>
      <c r="CF58" s="5532"/>
      <c r="CG58" s="6292"/>
      <c r="CH58" s="5532"/>
      <c r="CI58" s="6293"/>
      <c r="CJ58" s="6293"/>
      <c r="CK58" s="6293"/>
      <c r="CL58" s="6293"/>
      <c r="CM58" s="3794" t="str">
        <f>CN55&amp;"-"&amp;CP55</f>
        <v>-</v>
      </c>
      <c r="CN58" s="4726"/>
      <c r="CO58" s="4726"/>
      <c r="CP58" s="4726"/>
      <c r="CQ58" s="4726"/>
      <c r="CR58" s="6293"/>
      <c r="CS58" s="6293"/>
      <c r="CT58" s="6293"/>
      <c r="CU58" s="6293"/>
      <c r="CV58" s="3794" t="str">
        <f>CW55&amp;"-"&amp;CY55</f>
        <v>-</v>
      </c>
      <c r="CW58" s="4726"/>
      <c r="CX58" s="4726"/>
      <c r="CY58" s="4726"/>
      <c r="CZ58" s="6554"/>
      <c r="DA58" s="389"/>
      <c r="DB58" s="2319"/>
      <c r="DD58" s="565"/>
      <c r="DE58" s="565" t="str">
        <f>IF(V58="","",V58)</f>
        <v>Добавить наименование поставщика</v>
      </c>
      <c r="DF58" s="565"/>
      <c r="DG58" s="565"/>
      <c r="DH58" s="1220">
        <v>11</v>
      </c>
    </row>
    <row customHeight="1" ht="11.549999999999999">
      <c r="A59" s="1332" t="s">
        <v>185</v>
      </c>
      <c r="B59" s="1332" t="s">
        <v>186</v>
      </c>
      <c r="C59" s="1332" t="s">
        <v>187</v>
      </c>
      <c r="D59" s="1332" t="s">
        <v>188</v>
      </c>
      <c r="E59" s="2355"/>
      <c r="F59" s="2355"/>
      <c r="G59" s="2355"/>
      <c r="H59" s="2376"/>
      <c r="I59" s="2166"/>
      <c r="J59" s="2192"/>
      <c r="K59" s="1332"/>
      <c r="L59" s="1332"/>
      <c r="M59" s="1375"/>
      <c r="Q59" s="2322"/>
      <c r="R59" s="2322"/>
      <c r="S59" s="1396"/>
      <c r="T59" s="421"/>
      <c r="U59" s="1343"/>
      <c r="V59" s="352" t="s">
        <v>420</v>
      </c>
      <c r="W59" s="432"/>
      <c r="X59" s="432"/>
      <c r="Y59" s="432"/>
      <c r="Z59" s="432"/>
      <c r="AA59" s="432"/>
      <c r="AB59" s="432"/>
      <c r="AC59" s="1473"/>
      <c r="AD59" s="1473"/>
      <c r="AE59" s="1473"/>
      <c r="AF59" s="1473"/>
      <c r="AG59" s="432"/>
      <c r="AH59" s="432"/>
      <c r="AI59" s="432"/>
      <c r="AJ59" s="432"/>
      <c r="AK59" s="432"/>
      <c r="AL59" s="432"/>
      <c r="AM59" s="432"/>
      <c r="AN59" s="432"/>
      <c r="AO59" s="432"/>
      <c r="AP59" s="6755"/>
      <c r="AQ59" s="6756"/>
      <c r="AR59" s="6757"/>
      <c r="AS59" s="6758"/>
      <c r="AT59" s="6759"/>
      <c r="AU59" s="6760"/>
      <c r="AV59" s="6761"/>
      <c r="AW59" s="6762"/>
      <c r="AX59" s="6763"/>
      <c r="AY59" s="6764"/>
      <c r="AZ59" s="6765"/>
      <c r="BA59" s="6766"/>
      <c r="BB59" s="6767"/>
      <c r="BC59" s="6768"/>
      <c r="BD59" s="6769"/>
      <c r="BE59" s="6770"/>
      <c r="BF59" s="6771"/>
      <c r="BG59" s="6772"/>
      <c r="BH59" s="6773"/>
      <c r="BI59" s="6774"/>
      <c r="BJ59" s="6775"/>
      <c r="BK59" s="6776"/>
      <c r="BL59" s="6777"/>
      <c r="BM59" s="6778"/>
      <c r="BN59" s="6779"/>
      <c r="BO59" s="6780"/>
      <c r="BP59" s="6781"/>
      <c r="BQ59" s="6782"/>
      <c r="BR59" s="6783"/>
      <c r="BS59" s="6784"/>
      <c r="BT59" s="6785"/>
      <c r="BU59" s="6786"/>
      <c r="BV59" s="6787"/>
      <c r="BW59" s="6788"/>
      <c r="BX59" s="6789"/>
      <c r="BY59" s="6790"/>
      <c r="BZ59" s="6791"/>
      <c r="CA59" s="6792"/>
      <c r="CB59" s="6793"/>
      <c r="CC59" s="6794"/>
      <c r="CD59" s="6795"/>
      <c r="CE59" s="6796"/>
      <c r="CF59" s="6797"/>
      <c r="CG59" s="6798"/>
      <c r="CH59" s="6799"/>
      <c r="CI59" s="6800"/>
      <c r="CJ59" s="6801"/>
      <c r="CK59" s="6802"/>
      <c r="CL59" s="6803"/>
      <c r="CM59" s="6804"/>
      <c r="CN59" s="6805"/>
      <c r="CO59" s="6806"/>
      <c r="CP59" s="6807"/>
      <c r="CQ59" s="6808"/>
      <c r="CR59" s="6809"/>
      <c r="CS59" s="6810"/>
      <c r="CT59" s="6811"/>
      <c r="CU59" s="6812"/>
      <c r="CV59" s="6813"/>
      <c r="CW59" s="6814"/>
      <c r="CX59" s="6815"/>
      <c r="CY59" s="6816"/>
      <c r="CZ59" s="7155"/>
      <c r="DA59" s="389"/>
      <c r="DB59" s="2320"/>
      <c r="DD59" s="565"/>
      <c r="DE59" s="565" t="str">
        <f>IF(V59="","",V59)</f>
        <v>Добавить вид теплоносителя (параметры теплоносителя)</v>
      </c>
      <c r="DF59" s="565"/>
      <c r="DG59" s="565"/>
      <c r="DH59" s="1220">
        <v>11</v>
      </c>
    </row>
    <row s="6516" customFormat="1" customHeight="1" ht="21">
      <c r="A60" s="4614"/>
      <c r="B60" s="4614"/>
      <c r="C60" s="4614"/>
      <c r="D60" s="4614"/>
      <c r="E60" s="4988"/>
      <c r="F60" s="4988"/>
      <c r="G60" s="4988"/>
      <c r="H60" s="4988"/>
      <c r="I60" s="6007"/>
      <c r="J60" s="6148" t="str">
        <f>I53&amp;".2"</f>
        <v>1.1.1.1.1.2</v>
      </c>
      <c r="K60" s="4614"/>
      <c r="L60" s="4614"/>
      <c r="M60" s="4607" t="s">
        <v>415</v>
      </c>
      <c r="N60" s="5796"/>
      <c r="O60" s="5796"/>
      <c r="P60" s="6479"/>
      <c r="Q60" s="6461"/>
      <c r="R60" s="5708" t="s">
        <v>454</v>
      </c>
      <c r="S60" s="5305"/>
      <c r="T60" s="4063"/>
      <c r="U60" s="6458" t="str">
        <f>$J60</f>
        <v>1.1.1.1.1.2</v>
      </c>
      <c r="V60" s="4065" t="s">
        <v>416</v>
      </c>
      <c r="W60" s="4066"/>
      <c r="X60" s="6128"/>
      <c r="Y60" s="3787"/>
      <c r="Z60" s="3787"/>
      <c r="AA60" s="3787"/>
      <c r="AB60" s="3787"/>
      <c r="AC60" s="3566"/>
      <c r="AD60" s="3566"/>
      <c r="AE60" s="3566"/>
      <c r="AF60" s="4958"/>
      <c r="AG60" s="6128" t="s">
        <v>459</v>
      </c>
      <c r="AH60" s="3787"/>
      <c r="AI60" s="3787"/>
      <c r="AJ60" s="3787"/>
      <c r="AK60" s="3787"/>
      <c r="AL60" s="3787"/>
      <c r="AM60" s="3787"/>
      <c r="AN60" s="3787"/>
      <c r="AO60" s="3787"/>
      <c r="AP60" s="6128"/>
      <c r="AQ60" s="3787"/>
      <c r="AR60" s="3787"/>
      <c r="AS60" s="3787"/>
      <c r="AT60" s="3787"/>
      <c r="AU60" s="3566"/>
      <c r="AV60" s="3566"/>
      <c r="AW60" s="3566"/>
      <c r="AX60" s="4958"/>
      <c r="AY60" s="6128"/>
      <c r="AZ60" s="3787"/>
      <c r="BA60" s="3787"/>
      <c r="BB60" s="3787"/>
      <c r="BC60" s="3787"/>
      <c r="BD60" s="3566"/>
      <c r="BE60" s="3566"/>
      <c r="BF60" s="3566"/>
      <c r="BG60" s="4958"/>
      <c r="BH60" s="6128"/>
      <c r="BI60" s="3787"/>
      <c r="BJ60" s="3787"/>
      <c r="BK60" s="3787"/>
      <c r="BL60" s="3787"/>
      <c r="BM60" s="3566"/>
      <c r="BN60" s="3566"/>
      <c r="BO60" s="3566"/>
      <c r="BP60" s="4958"/>
      <c r="BQ60" s="6128"/>
      <c r="BR60" s="3787"/>
      <c r="BS60" s="3787"/>
      <c r="BT60" s="3787"/>
      <c r="BU60" s="3787"/>
      <c r="BV60" s="3566"/>
      <c r="BW60" s="3566"/>
      <c r="BX60" s="3566"/>
      <c r="BY60" s="4958"/>
      <c r="BZ60" s="6128"/>
      <c r="CA60" s="3787"/>
      <c r="CB60" s="3787"/>
      <c r="CC60" s="3787"/>
      <c r="CD60" s="3787"/>
      <c r="CE60" s="3566"/>
      <c r="CF60" s="3566"/>
      <c r="CG60" s="3566"/>
      <c r="CH60" s="4958"/>
      <c r="CI60" s="6128"/>
      <c r="CJ60" s="3787"/>
      <c r="CK60" s="3787"/>
      <c r="CL60" s="3787"/>
      <c r="CM60" s="3787"/>
      <c r="CN60" s="3566"/>
      <c r="CO60" s="3566"/>
      <c r="CP60" s="3566"/>
      <c r="CQ60" s="4958"/>
      <c r="CR60" s="6128"/>
      <c r="CS60" s="3787"/>
      <c r="CT60" s="3787"/>
      <c r="CU60" s="3787"/>
      <c r="CV60" s="3787"/>
      <c r="CW60" s="3566"/>
      <c r="CX60" s="3566"/>
      <c r="CY60" s="3566"/>
      <c r="CZ60" s="7152"/>
      <c r="DA60" s="3788"/>
      <c r="DB60" s="4067" t="s">
        <v>417</v>
      </c>
      <c r="DC60" s="5305"/>
      <c r="DD60" s="5748"/>
      <c r="DE60" s="5748" t="str">
        <f>IF(V60="","",V60)</f>
        <v>Группа потребителей</v>
      </c>
      <c r="DF60" s="5748"/>
      <c r="DG60" s="5748"/>
      <c r="DH60" s="5796">
        <v>0</v>
      </c>
    </row>
    <row s="6516" customFormat="1" customHeight="1" ht="21">
      <c r="A61" s="4614"/>
      <c r="B61" s="4614"/>
      <c r="C61" s="4614"/>
      <c r="D61" s="4614"/>
      <c r="E61" s="4988"/>
      <c r="F61" s="4988"/>
      <c r="G61" s="4988"/>
      <c r="H61" s="4988"/>
      <c r="I61" s="6007"/>
      <c r="J61" s="6007" t="str">
        <f>I53&amp;".1"</f>
        <v>1.1.1.1.1.1</v>
      </c>
      <c r="K61" s="6148" t="str">
        <f>J60&amp;".1"</f>
        <v>1.1.1.1.1.2.1</v>
      </c>
      <c r="L61" s="6460"/>
      <c r="M61" s="4607" t="s">
        <v>418</v>
      </c>
      <c r="N61" s="5796"/>
      <c r="O61" s="5796"/>
      <c r="P61" s="5796"/>
      <c r="Q61" s="6461"/>
      <c r="R61" s="6461"/>
      <c r="S61" s="6461">
        <v>1</v>
      </c>
      <c r="T61" s="4063"/>
      <c r="U61" s="6458" t="str">
        <f>$K61</f>
        <v>1.1.1.1.1.2.1</v>
      </c>
      <c r="V61" s="4070" t="s">
        <v>458</v>
      </c>
      <c r="W61" s="4066"/>
      <c r="X61" s="6293"/>
      <c r="Y61" s="6293"/>
      <c r="Z61" s="6293"/>
      <c r="AA61" s="6293"/>
      <c r="AB61" s="4724"/>
      <c r="AC61" s="4725"/>
      <c r="AD61" s="4726" t="s">
        <v>64</v>
      </c>
      <c r="AE61" s="4725"/>
      <c r="AF61" s="4726" t="s">
        <v>64</v>
      </c>
      <c r="AG61" s="4961"/>
      <c r="AH61" s="5178">
        <f>AH55</f>
        <v>74.95</v>
      </c>
      <c r="AI61" s="5178">
        <v>2886.34</v>
      </c>
      <c r="AJ61" s="5178"/>
      <c r="AK61" s="3791"/>
      <c r="AL61" s="6462">
        <v>46023</v>
      </c>
      <c r="AM61" s="5532" t="s">
        <v>64</v>
      </c>
      <c r="AN61" s="6462" t="str">
        <f>AN55</f>
        <v>46295.39758101852</v>
      </c>
      <c r="AO61" s="5532" t="s">
        <v>64</v>
      </c>
      <c r="AP61" s="5178"/>
      <c r="AQ61" s="5178">
        <f>AQ55</f>
        <v>83.94</v>
      </c>
      <c r="AR61" s="5178">
        <v>3232.7</v>
      </c>
      <c r="AS61" s="5178"/>
      <c r="AT61" s="4960"/>
      <c r="AU61" s="6462" t="str">
        <f>AU55</f>
        <v>46296.402280092596</v>
      </c>
      <c r="AV61" s="5532" t="s">
        <v>64</v>
      </c>
      <c r="AW61" s="6462" t="str">
        <f>AW55</f>
        <v>46387.402650462966</v>
      </c>
      <c r="AX61" s="5532" t="s">
        <v>64</v>
      </c>
      <c r="AY61" s="5178"/>
      <c r="AZ61" s="5178">
        <f>AZ55</f>
        <v>74.18</v>
      </c>
      <c r="BA61" s="5178">
        <v>2791.54</v>
      </c>
      <c r="BB61" s="5178"/>
      <c r="BC61" s="4960"/>
      <c r="BD61" s="6462" t="str">
        <f>BD55</f>
        <v>46388</v>
      </c>
      <c r="BE61" s="5532" t="s">
        <v>64</v>
      </c>
      <c r="BF61" s="6462" t="str">
        <f>BF55</f>
        <v>46568.405856481484</v>
      </c>
      <c r="BG61" s="5532" t="s">
        <v>64</v>
      </c>
      <c r="BH61" s="5178"/>
      <c r="BI61" s="5178">
        <f>BI55</f>
        <v>77.15</v>
      </c>
      <c r="BJ61" s="5178">
        <v>2903.2</v>
      </c>
      <c r="BK61" s="5178"/>
      <c r="BL61" s="4960"/>
      <c r="BM61" s="6462" t="str">
        <f>BM55</f>
        <v>46569.41800925926</v>
      </c>
      <c r="BN61" s="5532" t="s">
        <v>64</v>
      </c>
      <c r="BO61" s="6462" t="str">
        <f>BO55</f>
        <v>46752.41818287037</v>
      </c>
      <c r="BP61" s="5532" t="s">
        <v>64</v>
      </c>
      <c r="BQ61" s="5178"/>
      <c r="BR61" s="5178">
        <f>BR55</f>
        <v>77.15</v>
      </c>
      <c r="BS61" s="5178">
        <v>2903.2</v>
      </c>
      <c r="BT61" s="5178"/>
      <c r="BU61" s="4960"/>
      <c r="BV61" s="6462" t="str">
        <f>BV55</f>
        <v>46753.410162037035</v>
      </c>
      <c r="BW61" s="5532" t="s">
        <v>64</v>
      </c>
      <c r="BX61" s="6462" t="str">
        <f>BX55</f>
        <v>46934.410520833335</v>
      </c>
      <c r="BY61" s="5532" t="s">
        <v>64</v>
      </c>
      <c r="BZ61" s="5178"/>
      <c r="CA61" s="5178">
        <f>CA55</f>
        <v>80.23</v>
      </c>
      <c r="CB61" s="5178">
        <v>3019.33</v>
      </c>
      <c r="CC61" s="5178"/>
      <c r="CD61" s="4960"/>
      <c r="CE61" s="6462" t="str">
        <f>CE55</f>
        <v>46935</v>
      </c>
      <c r="CF61" s="5532" t="s">
        <v>64</v>
      </c>
      <c r="CG61" s="6462" t="str">
        <f>CG55</f>
        <v>47118.41643518519</v>
      </c>
      <c r="CH61" s="5532" t="s">
        <v>19</v>
      </c>
      <c r="CI61" s="6293"/>
      <c r="CJ61" s="6293"/>
      <c r="CK61" s="6293"/>
      <c r="CL61" s="6293"/>
      <c r="CM61" s="4724"/>
      <c r="CN61" s="4725"/>
      <c r="CO61" s="4726" t="s">
        <v>64</v>
      </c>
      <c r="CP61" s="4725"/>
      <c r="CQ61" s="4726" t="s">
        <v>64</v>
      </c>
      <c r="CR61" s="6293"/>
      <c r="CS61" s="6293"/>
      <c r="CT61" s="6293"/>
      <c r="CU61" s="6293"/>
      <c r="CV61" s="4724"/>
      <c r="CW61" s="4725"/>
      <c r="CX61" s="4726" t="s">
        <v>64</v>
      </c>
      <c r="CY61" s="4725"/>
      <c r="CZ61" s="6554" t="s">
        <v>64</v>
      </c>
      <c r="DA61" s="3790"/>
      <c r="DB61" s="4962" t="s">
        <v>462</v>
      </c>
      <c r="DC61" s="5305">
        <f>STRCHECKDATE(X63:DA63)</f>
      </c>
      <c r="DD61" s="5748"/>
      <c r="DE61" s="5748" t="str">
        <f>IF(V61="","",V61)</f>
        <v>вода</v>
      </c>
      <c r="DF61" s="5748"/>
      <c r="DG61" s="5748"/>
      <c r="DH61" s="5796">
        <v>0</v>
      </c>
    </row>
    <row s="6516" customFormat="1" customHeight="1" ht="21">
      <c r="A62" s="4614"/>
      <c r="B62" s="4614"/>
      <c r="C62" s="4614"/>
      <c r="D62" s="4614"/>
      <c r="E62" s="4988"/>
      <c r="F62" s="4988"/>
      <c r="G62" s="4988"/>
      <c r="H62" s="4988"/>
      <c r="I62" s="6007"/>
      <c r="J62" s="6007" t="str">
        <f>I53&amp;".1"</f>
        <v>1.1.1.1.1.1</v>
      </c>
      <c r="K62" s="6007"/>
      <c r="L62" s="6148" t="str">
        <f>K61&amp;".1"</f>
        <v>1.1.1.1.1.2.1.1</v>
      </c>
      <c r="M62" s="4607"/>
      <c r="N62" s="5796"/>
      <c r="O62" s="5796"/>
      <c r="P62" s="5796"/>
      <c r="Q62" s="6461"/>
      <c r="R62" s="6461"/>
      <c r="S62" s="6461"/>
      <c r="T62" s="4063"/>
      <c r="U62" s="6458" t="str">
        <f>$L62</f>
        <v>1.1.1.1.1.2.1.1</v>
      </c>
      <c r="V62" s="4963"/>
      <c r="W62" s="4066"/>
      <c r="X62" s="6293"/>
      <c r="Y62" s="6293"/>
      <c r="Z62" s="6293"/>
      <c r="AA62" s="6293"/>
      <c r="AB62" s="4724"/>
      <c r="AC62" s="4725"/>
      <c r="AD62" s="4726"/>
      <c r="AE62" s="4725"/>
      <c r="AF62" s="4726"/>
      <c r="AG62" s="4961"/>
      <c r="AH62" s="5178"/>
      <c r="AI62" s="5178"/>
      <c r="AJ62" s="5178"/>
      <c r="AK62" s="3791"/>
      <c r="AL62" s="6292"/>
      <c r="AM62" s="5532"/>
      <c r="AN62" s="6292"/>
      <c r="AO62" s="5532"/>
      <c r="AP62" s="3790"/>
      <c r="AQ62" s="5178"/>
      <c r="AR62" s="5178"/>
      <c r="AS62" s="5178"/>
      <c r="AT62" s="4960"/>
      <c r="AU62" s="6292"/>
      <c r="AV62" s="5532"/>
      <c r="AW62" s="6292"/>
      <c r="AX62" s="5532"/>
      <c r="AY62" s="3790"/>
      <c r="AZ62" s="5178"/>
      <c r="BA62" s="5178"/>
      <c r="BB62" s="5178"/>
      <c r="BC62" s="4960"/>
      <c r="BD62" s="6292"/>
      <c r="BE62" s="5532"/>
      <c r="BF62" s="6292"/>
      <c r="BG62" s="5532"/>
      <c r="BH62" s="3790"/>
      <c r="BI62" s="5178"/>
      <c r="BJ62" s="5178"/>
      <c r="BK62" s="5178"/>
      <c r="BL62" s="4960"/>
      <c r="BM62" s="6292"/>
      <c r="BN62" s="5532"/>
      <c r="BO62" s="6292"/>
      <c r="BP62" s="5532"/>
      <c r="BQ62" s="3790"/>
      <c r="BR62" s="5178"/>
      <c r="BS62" s="5178"/>
      <c r="BT62" s="5178"/>
      <c r="BU62" s="4960"/>
      <c r="BV62" s="6292"/>
      <c r="BW62" s="5532"/>
      <c r="BX62" s="6292"/>
      <c r="BY62" s="5532"/>
      <c r="BZ62" s="3790"/>
      <c r="CA62" s="5178"/>
      <c r="CB62" s="5178"/>
      <c r="CC62" s="5178"/>
      <c r="CD62" s="4960"/>
      <c r="CE62" s="6292"/>
      <c r="CF62" s="5532"/>
      <c r="CG62" s="6292"/>
      <c r="CH62" s="5532"/>
      <c r="CI62" s="6293"/>
      <c r="CJ62" s="6293"/>
      <c r="CK62" s="6293"/>
      <c r="CL62" s="6293"/>
      <c r="CM62" s="4724"/>
      <c r="CN62" s="4725"/>
      <c r="CO62" s="4726"/>
      <c r="CP62" s="4725"/>
      <c r="CQ62" s="4726"/>
      <c r="CR62" s="6293"/>
      <c r="CS62" s="6293"/>
      <c r="CT62" s="6293"/>
      <c r="CU62" s="6293"/>
      <c r="CV62" s="4724"/>
      <c r="CW62" s="4725"/>
      <c r="CX62" s="4726"/>
      <c r="CY62" s="4725"/>
      <c r="CZ62" s="6554"/>
      <c r="DA62" s="3790"/>
      <c r="DB62" s="4071" t="s">
        <v>463</v>
      </c>
      <c r="DC62" s="5305"/>
      <c r="DD62" s="5748"/>
      <c r="DE62" s="5748"/>
      <c r="DF62" s="5748"/>
      <c r="DG62" s="5748"/>
      <c r="DH62" s="5796">
        <v>0</v>
      </c>
    </row>
    <row s="6516" customFormat="1" customHeight="1" ht="14.25">
      <c r="A63" s="4614"/>
      <c r="B63" s="4614"/>
      <c r="C63" s="4614"/>
      <c r="D63" s="4614"/>
      <c r="E63" s="4988"/>
      <c r="F63" s="4988"/>
      <c r="G63" s="4988"/>
      <c r="H63" s="4988"/>
      <c r="I63" s="6007"/>
      <c r="J63" s="6007" t="str">
        <f>I53&amp;".1"</f>
        <v>1.1.1.1.1.1</v>
      </c>
      <c r="K63" s="6007"/>
      <c r="L63" s="6148"/>
      <c r="M63" s="4607"/>
      <c r="N63" s="5796"/>
      <c r="O63" s="5796"/>
      <c r="P63" s="5796"/>
      <c r="Q63" s="6461"/>
      <c r="R63" s="6461"/>
      <c r="S63" s="6461"/>
      <c r="T63" s="4063"/>
      <c r="U63" s="6463"/>
      <c r="V63" s="4066"/>
      <c r="W63" s="4066"/>
      <c r="X63" s="6293"/>
      <c r="Y63" s="6293"/>
      <c r="Z63" s="6293"/>
      <c r="AA63" s="6293"/>
      <c r="AB63" s="4724"/>
      <c r="AC63" s="4725"/>
      <c r="AD63" s="4726"/>
      <c r="AE63" s="4725"/>
      <c r="AF63" s="4726"/>
      <c r="AG63" s="4966"/>
      <c r="AH63" s="3790"/>
      <c r="AI63" s="3790"/>
      <c r="AJ63" s="3790"/>
      <c r="AK63" s="3794" t="str">
        <f>AL61&amp;"-"&amp;AN61</f>
        <v>46023-46295.39758101852</v>
      </c>
      <c r="AL63" s="6292"/>
      <c r="AM63" s="5532"/>
      <c r="AN63" s="6292"/>
      <c r="AO63" s="5532"/>
      <c r="AP63" s="3790"/>
      <c r="AQ63" s="3790"/>
      <c r="AR63" s="3790"/>
      <c r="AS63" s="3790"/>
      <c r="AT63" s="4965" t="str">
        <f>AU61&amp;"-"&amp;AW61</f>
        <v>46296.402280092596-46387.402650462966</v>
      </c>
      <c r="AU63" s="6292"/>
      <c r="AV63" s="5532"/>
      <c r="AW63" s="6292"/>
      <c r="AX63" s="5532"/>
      <c r="AY63" s="3790"/>
      <c r="AZ63" s="3790"/>
      <c r="BA63" s="3790"/>
      <c r="BB63" s="3790"/>
      <c r="BC63" s="4965" t="str">
        <f>BD61&amp;"-"&amp;BF61</f>
        <v>46388-46568.405856481484</v>
      </c>
      <c r="BD63" s="6292"/>
      <c r="BE63" s="5532"/>
      <c r="BF63" s="6292"/>
      <c r="BG63" s="5532"/>
      <c r="BH63" s="3790"/>
      <c r="BI63" s="3790"/>
      <c r="BJ63" s="3790"/>
      <c r="BK63" s="3790"/>
      <c r="BL63" s="4965" t="str">
        <f>BM61&amp;"-"&amp;BO61</f>
        <v>46569.41800925926-46752.41818287037</v>
      </c>
      <c r="BM63" s="6292"/>
      <c r="BN63" s="5532"/>
      <c r="BO63" s="6292"/>
      <c r="BP63" s="5532"/>
      <c r="BQ63" s="3790"/>
      <c r="BR63" s="3790"/>
      <c r="BS63" s="3790"/>
      <c r="BT63" s="3790"/>
      <c r="BU63" s="4965" t="str">
        <f>BV61&amp;"-"&amp;BX61</f>
        <v>46753.410162037035-46934.410520833335</v>
      </c>
      <c r="BV63" s="6292"/>
      <c r="BW63" s="5532"/>
      <c r="BX63" s="6292"/>
      <c r="BY63" s="5532"/>
      <c r="BZ63" s="3790"/>
      <c r="CA63" s="3790"/>
      <c r="CB63" s="3790"/>
      <c r="CC63" s="3790"/>
      <c r="CD63" s="4965" t="str">
        <f>CE61&amp;"-"&amp;CG61</f>
        <v>46935-47118.41643518519</v>
      </c>
      <c r="CE63" s="6292"/>
      <c r="CF63" s="5532"/>
      <c r="CG63" s="6292"/>
      <c r="CH63" s="5532"/>
      <c r="CI63" s="6293"/>
      <c r="CJ63" s="6293"/>
      <c r="CK63" s="6293"/>
      <c r="CL63" s="6293"/>
      <c r="CM63" s="4724"/>
      <c r="CN63" s="4725"/>
      <c r="CO63" s="4726"/>
      <c r="CP63" s="4725"/>
      <c r="CQ63" s="4726"/>
      <c r="CR63" s="6293"/>
      <c r="CS63" s="6293"/>
      <c r="CT63" s="6293"/>
      <c r="CU63" s="6293"/>
      <c r="CV63" s="4724"/>
      <c r="CW63" s="4725"/>
      <c r="CX63" s="4726"/>
      <c r="CY63" s="4725"/>
      <c r="CZ63" s="6554"/>
      <c r="DA63" s="3790"/>
      <c r="DB63" s="4074"/>
      <c r="DC63" s="5305"/>
      <c r="DD63" s="5748"/>
      <c r="DE63" s="5748" t="str">
        <f>IF(V63="","",V63)</f>
        <v/>
      </c>
      <c r="DF63" s="5748"/>
      <c r="DG63" s="5748"/>
      <c r="DH63" s="5796">
        <v>0</v>
      </c>
    </row>
    <row s="6516" customFormat="1" customHeight="1" ht="11.25">
      <c r="A64" s="4614"/>
      <c r="B64" s="4614"/>
      <c r="C64" s="4614"/>
      <c r="D64" s="4614"/>
      <c r="E64" s="4988"/>
      <c r="F64" s="4988"/>
      <c r="G64" s="4988"/>
      <c r="H64" s="4988"/>
      <c r="I64" s="6007"/>
      <c r="J64" s="6007" t="str">
        <f>I53&amp;".1"</f>
        <v>1.1.1.1.1.1</v>
      </c>
      <c r="K64" s="6148"/>
      <c r="L64" s="4614"/>
      <c r="M64" s="4607"/>
      <c r="N64" s="5796"/>
      <c r="O64" s="5796"/>
      <c r="P64" s="5796"/>
      <c r="Q64" s="6461"/>
      <c r="R64" s="6461"/>
      <c r="S64" s="6461"/>
      <c r="T64" s="4063"/>
      <c r="U64" s="6818"/>
      <c r="V64" s="6819" t="s">
        <v>464</v>
      </c>
      <c r="W64" s="6820"/>
      <c r="X64" s="6293"/>
      <c r="Y64" s="6293"/>
      <c r="Z64" s="6293"/>
      <c r="AA64" s="6293"/>
      <c r="AB64" s="3794" t="str">
        <f>AC61&amp;"-"&amp;AE61</f>
        <v>-</v>
      </c>
      <c r="AC64" s="4726"/>
      <c r="AD64" s="4726"/>
      <c r="AE64" s="4726"/>
      <c r="AF64" s="4726"/>
      <c r="AG64" s="6826"/>
      <c r="AH64" s="6827"/>
      <c r="AI64" s="6828"/>
      <c r="AJ64" s="6829"/>
      <c r="AK64" s="6830"/>
      <c r="AL64" s="6292"/>
      <c r="AM64" s="5532"/>
      <c r="AN64" s="6292"/>
      <c r="AO64" s="5532"/>
      <c r="AP64" s="6831"/>
      <c r="AQ64" s="6832"/>
      <c r="AR64" s="6833"/>
      <c r="AS64" s="6834"/>
      <c r="AT64" s="6835"/>
      <c r="AU64" s="6292"/>
      <c r="AV64" s="5532"/>
      <c r="AW64" s="6292"/>
      <c r="AX64" s="5532"/>
      <c r="AY64" s="6836"/>
      <c r="AZ64" s="6837"/>
      <c r="BA64" s="6838"/>
      <c r="BB64" s="6839"/>
      <c r="BC64" s="6840"/>
      <c r="BD64" s="6292"/>
      <c r="BE64" s="5532"/>
      <c r="BF64" s="6292"/>
      <c r="BG64" s="5532"/>
      <c r="BH64" s="6841"/>
      <c r="BI64" s="6842"/>
      <c r="BJ64" s="6843"/>
      <c r="BK64" s="6844"/>
      <c r="BL64" s="6845"/>
      <c r="BM64" s="6292"/>
      <c r="BN64" s="5532"/>
      <c r="BO64" s="6292"/>
      <c r="BP64" s="5532"/>
      <c r="BQ64" s="6846"/>
      <c r="BR64" s="6847"/>
      <c r="BS64" s="6848"/>
      <c r="BT64" s="6849"/>
      <c r="BU64" s="6850"/>
      <c r="BV64" s="6292"/>
      <c r="BW64" s="5532"/>
      <c r="BX64" s="6292"/>
      <c r="BY64" s="5532"/>
      <c r="BZ64" s="6851"/>
      <c r="CA64" s="6852"/>
      <c r="CB64" s="6853"/>
      <c r="CC64" s="6854"/>
      <c r="CD64" s="6855"/>
      <c r="CE64" s="6292"/>
      <c r="CF64" s="5532"/>
      <c r="CG64" s="6292"/>
      <c r="CH64" s="5532"/>
      <c r="CI64" s="6293"/>
      <c r="CJ64" s="6293"/>
      <c r="CK64" s="6293"/>
      <c r="CL64" s="6293"/>
      <c r="CM64" s="3794" t="str">
        <f>CN61&amp;"-"&amp;CP61</f>
        <v>-</v>
      </c>
      <c r="CN64" s="4726"/>
      <c r="CO64" s="4726"/>
      <c r="CP64" s="4726"/>
      <c r="CQ64" s="4726"/>
      <c r="CR64" s="6293"/>
      <c r="CS64" s="6293"/>
      <c r="CT64" s="6293"/>
      <c r="CU64" s="6293"/>
      <c r="CV64" s="3794" t="str">
        <f>CW61&amp;"-"&amp;CY61</f>
        <v>-</v>
      </c>
      <c r="CW64" s="4726"/>
      <c r="CX64" s="4726"/>
      <c r="CY64" s="4726"/>
      <c r="CZ64" s="6554"/>
      <c r="DA64" s="6866"/>
      <c r="DB64" s="4074"/>
      <c r="DC64" s="5305"/>
      <c r="DD64" s="5748"/>
      <c r="DE64" s="5748"/>
      <c r="DF64" s="5748"/>
      <c r="DG64" s="5748"/>
      <c r="DH64" s="5796">
        <v>0</v>
      </c>
    </row>
    <row s="6516" customFormat="1" customHeight="1" ht="15">
      <c r="A65" s="4614"/>
      <c r="B65" s="4614"/>
      <c r="C65" s="4614"/>
      <c r="D65" s="4614"/>
      <c r="E65" s="4988"/>
      <c r="F65" s="4988"/>
      <c r="G65" s="4988"/>
      <c r="H65" s="4988"/>
      <c r="I65" s="6007"/>
      <c r="J65" s="6148" t="str">
        <f>I53&amp;".1"</f>
        <v>1.1.1.1.1.1</v>
      </c>
      <c r="K65" s="4614"/>
      <c r="L65" s="4614"/>
      <c r="M65" s="4607"/>
      <c r="N65" s="5796"/>
      <c r="O65" s="5796"/>
      <c r="P65" s="6479"/>
      <c r="Q65" s="6461"/>
      <c r="R65" s="6461"/>
      <c r="S65" s="6461"/>
      <c r="T65" s="4076"/>
      <c r="U65" s="6867"/>
      <c r="V65" s="6868" t="s">
        <v>420</v>
      </c>
      <c r="W65" s="6869"/>
      <c r="X65" s="6870"/>
      <c r="Y65" s="6871"/>
      <c r="Z65" s="6872"/>
      <c r="AA65" s="6873"/>
      <c r="AB65" s="6874"/>
      <c r="AC65" s="6875"/>
      <c r="AD65" s="6876"/>
      <c r="AE65" s="6877"/>
      <c r="AF65" s="6878"/>
      <c r="AG65" s="6879"/>
      <c r="AH65" s="6880"/>
      <c r="AI65" s="6881"/>
      <c r="AJ65" s="6882"/>
      <c r="AK65" s="6883"/>
      <c r="AL65" s="6884"/>
      <c r="AM65" s="6885"/>
      <c r="AN65" s="6886"/>
      <c r="AO65" s="6887"/>
      <c r="AP65" s="6888"/>
      <c r="AQ65" s="6889"/>
      <c r="AR65" s="6890"/>
      <c r="AS65" s="6891"/>
      <c r="AT65" s="6892"/>
      <c r="AU65" s="6893"/>
      <c r="AV65" s="6894"/>
      <c r="AW65" s="6895"/>
      <c r="AX65" s="6896"/>
      <c r="AY65" s="6897"/>
      <c r="AZ65" s="6898"/>
      <c r="BA65" s="6899"/>
      <c r="BB65" s="6900"/>
      <c r="BC65" s="6901"/>
      <c r="BD65" s="6902"/>
      <c r="BE65" s="6903"/>
      <c r="BF65" s="6904"/>
      <c r="BG65" s="6905"/>
      <c r="BH65" s="6906"/>
      <c r="BI65" s="6907"/>
      <c r="BJ65" s="6908"/>
      <c r="BK65" s="6909"/>
      <c r="BL65" s="6910"/>
      <c r="BM65" s="6911"/>
      <c r="BN65" s="6912"/>
      <c r="BO65" s="6913"/>
      <c r="BP65" s="6914"/>
      <c r="BQ65" s="6915"/>
      <c r="BR65" s="6916"/>
      <c r="BS65" s="6917"/>
      <c r="BT65" s="6918"/>
      <c r="BU65" s="6919"/>
      <c r="BV65" s="6920"/>
      <c r="BW65" s="6921"/>
      <c r="BX65" s="6922"/>
      <c r="BY65" s="6923"/>
      <c r="BZ65" s="6924"/>
      <c r="CA65" s="6925"/>
      <c r="CB65" s="6926"/>
      <c r="CC65" s="6927"/>
      <c r="CD65" s="6928"/>
      <c r="CE65" s="6929"/>
      <c r="CF65" s="6930"/>
      <c r="CG65" s="6931"/>
      <c r="CH65" s="6932"/>
      <c r="CI65" s="6933"/>
      <c r="CJ65" s="6934"/>
      <c r="CK65" s="6935"/>
      <c r="CL65" s="6936"/>
      <c r="CM65" s="6937"/>
      <c r="CN65" s="6938"/>
      <c r="CO65" s="6939"/>
      <c r="CP65" s="6940"/>
      <c r="CQ65" s="6941"/>
      <c r="CR65" s="6942"/>
      <c r="CS65" s="6943"/>
      <c r="CT65" s="6944"/>
      <c r="CU65" s="6945"/>
      <c r="CV65" s="6946"/>
      <c r="CW65" s="6947"/>
      <c r="CX65" s="6948"/>
      <c r="CY65" s="6949"/>
      <c r="CZ65" s="7156"/>
      <c r="DA65" s="6951"/>
      <c r="DB65" s="4153"/>
      <c r="DC65" s="5305"/>
      <c r="DD65" s="5748"/>
      <c r="DE65" s="5748" t="str">
        <f>IF(V65="","",V65)</f>
        <v>Добавить вид теплоносителя (параметры теплоносителя)</v>
      </c>
      <c r="DF65" s="5748"/>
      <c r="DG65" s="5748"/>
      <c r="DH65" s="5796">
        <v>0</v>
      </c>
    </row>
    <row s="6516" customFormat="1" customHeight="1" ht="21">
      <c r="A66" s="4614"/>
      <c r="B66" s="4614"/>
      <c r="C66" s="4614"/>
      <c r="D66" s="4614"/>
      <c r="E66" s="4988"/>
      <c r="F66" s="4988"/>
      <c r="G66" s="4988"/>
      <c r="H66" s="4988"/>
      <c r="I66" s="6007"/>
      <c r="J66" s="6148" t="str">
        <f>I53&amp;".3"</f>
        <v>1.1.1.1.1.3</v>
      </c>
      <c r="K66" s="4614"/>
      <c r="L66" s="4614"/>
      <c r="M66" s="4607" t="s">
        <v>415</v>
      </c>
      <c r="N66" s="5796"/>
      <c r="O66" s="5796"/>
      <c r="P66" s="6479"/>
      <c r="Q66" s="6461"/>
      <c r="R66" s="5708" t="s">
        <v>454</v>
      </c>
      <c r="S66" s="5305"/>
      <c r="T66" s="4063"/>
      <c r="U66" s="6458" t="str">
        <f>$J66</f>
        <v>1.1.1.1.1.3</v>
      </c>
      <c r="V66" s="4065" t="s">
        <v>416</v>
      </c>
      <c r="W66" s="4066"/>
      <c r="X66" s="6128"/>
      <c r="Y66" s="3787"/>
      <c r="Z66" s="3787"/>
      <c r="AA66" s="3787"/>
      <c r="AB66" s="3787"/>
      <c r="AC66" s="3566"/>
      <c r="AD66" s="3566"/>
      <c r="AE66" s="3566"/>
      <c r="AF66" s="4958"/>
      <c r="AG66" s="6128" t="s">
        <v>457</v>
      </c>
      <c r="AH66" s="3787"/>
      <c r="AI66" s="3787"/>
      <c r="AJ66" s="3787"/>
      <c r="AK66" s="3787"/>
      <c r="AL66" s="3787"/>
      <c r="AM66" s="3787"/>
      <c r="AN66" s="3787"/>
      <c r="AO66" s="3787"/>
      <c r="AP66" s="6128"/>
      <c r="AQ66" s="3787"/>
      <c r="AR66" s="3787"/>
      <c r="AS66" s="3787"/>
      <c r="AT66" s="3787"/>
      <c r="AU66" s="3566"/>
      <c r="AV66" s="3566"/>
      <c r="AW66" s="3566"/>
      <c r="AX66" s="4958"/>
      <c r="AY66" s="6128"/>
      <c r="AZ66" s="3787"/>
      <c r="BA66" s="3787"/>
      <c r="BB66" s="3787"/>
      <c r="BC66" s="3787"/>
      <c r="BD66" s="3566"/>
      <c r="BE66" s="3566"/>
      <c r="BF66" s="3566"/>
      <c r="BG66" s="4958"/>
      <c r="BH66" s="6128"/>
      <c r="BI66" s="3787"/>
      <c r="BJ66" s="3787"/>
      <c r="BK66" s="3787"/>
      <c r="BL66" s="3787"/>
      <c r="BM66" s="3566"/>
      <c r="BN66" s="3566"/>
      <c r="BO66" s="3566"/>
      <c r="BP66" s="4958"/>
      <c r="BQ66" s="6128"/>
      <c r="BR66" s="3787"/>
      <c r="BS66" s="3787"/>
      <c r="BT66" s="3787"/>
      <c r="BU66" s="3787"/>
      <c r="BV66" s="3566"/>
      <c r="BW66" s="3566"/>
      <c r="BX66" s="3566"/>
      <c r="BY66" s="4958"/>
      <c r="BZ66" s="6128"/>
      <c r="CA66" s="3787"/>
      <c r="CB66" s="3787"/>
      <c r="CC66" s="3787"/>
      <c r="CD66" s="3787"/>
      <c r="CE66" s="3566"/>
      <c r="CF66" s="3566"/>
      <c r="CG66" s="3566"/>
      <c r="CH66" s="4958"/>
      <c r="CI66" s="6128"/>
      <c r="CJ66" s="3787"/>
      <c r="CK66" s="3787"/>
      <c r="CL66" s="3787"/>
      <c r="CM66" s="3787"/>
      <c r="CN66" s="3566"/>
      <c r="CO66" s="3566"/>
      <c r="CP66" s="3566"/>
      <c r="CQ66" s="4958"/>
      <c r="CR66" s="6128"/>
      <c r="CS66" s="3787"/>
      <c r="CT66" s="3787"/>
      <c r="CU66" s="3787"/>
      <c r="CV66" s="3787"/>
      <c r="CW66" s="3566"/>
      <c r="CX66" s="3566"/>
      <c r="CY66" s="3566"/>
      <c r="CZ66" s="7152"/>
      <c r="DA66" s="3788"/>
      <c r="DB66" s="4067" t="s">
        <v>417</v>
      </c>
      <c r="DC66" s="5305"/>
      <c r="DD66" s="5748"/>
      <c r="DE66" s="5748" t="str">
        <f>IF(V66="","",V66)</f>
        <v>Группа потребителей</v>
      </c>
      <c r="DF66" s="5748"/>
      <c r="DG66" s="5748"/>
      <c r="DH66" s="5796">
        <v>0</v>
      </c>
    </row>
    <row s="6516" customFormat="1" customHeight="1" ht="21">
      <c r="A67" s="4614"/>
      <c r="B67" s="4614"/>
      <c r="C67" s="4614"/>
      <c r="D67" s="4614"/>
      <c r="E67" s="4988"/>
      <c r="F67" s="4988"/>
      <c r="G67" s="4988"/>
      <c r="H67" s="4988"/>
      <c r="I67" s="6007"/>
      <c r="J67" s="6007" t="str">
        <f>I53&amp;".2"</f>
        <v>1.1.1.1.1.2</v>
      </c>
      <c r="K67" s="6148" t="str">
        <f>J66&amp;".1"</f>
        <v>1.1.1.1.1.3.1</v>
      </c>
      <c r="L67" s="6460"/>
      <c r="M67" s="4607" t="s">
        <v>418</v>
      </c>
      <c r="N67" s="5796"/>
      <c r="O67" s="5796"/>
      <c r="P67" s="5796"/>
      <c r="Q67" s="6461"/>
      <c r="R67" s="6461"/>
      <c r="S67" s="6461">
        <v>1</v>
      </c>
      <c r="T67" s="4063"/>
      <c r="U67" s="6458" t="str">
        <f>$K67</f>
        <v>1.1.1.1.1.3.1</v>
      </c>
      <c r="V67" s="4070" t="s">
        <v>458</v>
      </c>
      <c r="W67" s="4066"/>
      <c r="X67" s="6293"/>
      <c r="Y67" s="6293"/>
      <c r="Z67" s="6293"/>
      <c r="AA67" s="6293"/>
      <c r="AB67" s="4724"/>
      <c r="AC67" s="4725"/>
      <c r="AD67" s="4726" t="s">
        <v>64</v>
      </c>
      <c r="AE67" s="4725"/>
      <c r="AF67" s="4726" t="s">
        <v>64</v>
      </c>
      <c r="AG67" s="4961"/>
      <c r="AH67" s="5178">
        <v>87.42</v>
      </c>
      <c r="AI67" s="5178">
        <v>2898.16</v>
      </c>
      <c r="AJ67" s="5178"/>
      <c r="AK67" s="3791"/>
      <c r="AL67" s="6462" t="str">
        <f>AL61</f>
        <v>46023</v>
      </c>
      <c r="AM67" s="5532" t="s">
        <v>64</v>
      </c>
      <c r="AN67" s="6462" t="str">
        <f>AN61</f>
        <v>46295.39758101852</v>
      </c>
      <c r="AO67" s="5532" t="s">
        <v>64</v>
      </c>
      <c r="AP67" s="5178"/>
      <c r="AQ67" s="5178">
        <v>133.13</v>
      </c>
      <c r="AR67" s="5178">
        <v>2898.16</v>
      </c>
      <c r="AS67" s="5178"/>
      <c r="AT67" s="4960"/>
      <c r="AU67" s="6462" t="str">
        <f>AU61</f>
        <v>46296.402280092596</v>
      </c>
      <c r="AV67" s="5532" t="s">
        <v>64</v>
      </c>
      <c r="AW67" s="6462" t="str">
        <f>AW61</f>
        <v>46387.402650462966</v>
      </c>
      <c r="AX67" s="5532" t="s">
        <v>64</v>
      </c>
      <c r="AY67" s="5178"/>
      <c r="AZ67" s="5178">
        <v>90.36</v>
      </c>
      <c r="BA67" s="5178">
        <v>2901.59</v>
      </c>
      <c r="BB67" s="5178"/>
      <c r="BC67" s="4960"/>
      <c r="BD67" s="6462" t="str">
        <f>BD61</f>
        <v>46388</v>
      </c>
      <c r="BE67" s="5532" t="s">
        <v>64</v>
      </c>
      <c r="BF67" s="6462" t="str">
        <f>BF61</f>
        <v>46568.405856481484</v>
      </c>
      <c r="BG67" s="5532" t="s">
        <v>64</v>
      </c>
      <c r="BH67" s="5178"/>
      <c r="BI67" s="5178">
        <v>93.1</v>
      </c>
      <c r="BJ67" s="5178">
        <v>3091.74</v>
      </c>
      <c r="BK67" s="5178"/>
      <c r="BL67" s="4960"/>
      <c r="BM67" s="6462" t="str">
        <f>BM61</f>
        <v>46569.41800925926</v>
      </c>
      <c r="BN67" s="5532" t="s">
        <v>64</v>
      </c>
      <c r="BO67" s="6462" t="str">
        <f>BO61</f>
        <v>46752.41818287037</v>
      </c>
      <c r="BP67" s="5532" t="s">
        <v>64</v>
      </c>
      <c r="BQ67" s="5178"/>
      <c r="BR67" s="5178">
        <v>93.1</v>
      </c>
      <c r="BS67" s="5178">
        <v>3091.74</v>
      </c>
      <c r="BT67" s="5178"/>
      <c r="BU67" s="4960"/>
      <c r="BV67" s="6462" t="str">
        <f>BV61</f>
        <v>46753.410162037035</v>
      </c>
      <c r="BW67" s="5532" t="s">
        <v>64</v>
      </c>
      <c r="BX67" s="6462" t="str">
        <f>BX61</f>
        <v>46934.410520833335</v>
      </c>
      <c r="BY67" s="5532" t="s">
        <v>64</v>
      </c>
      <c r="BZ67" s="5178"/>
      <c r="CA67" s="5178">
        <v>95.34</v>
      </c>
      <c r="CB67" s="5178">
        <v>3227.81</v>
      </c>
      <c r="CC67" s="5178"/>
      <c r="CD67" s="4960"/>
      <c r="CE67" s="6462" t="str">
        <f>CE61</f>
        <v>46935</v>
      </c>
      <c r="CF67" s="5532" t="s">
        <v>64</v>
      </c>
      <c r="CG67" s="6462" t="str">
        <f>CG61</f>
        <v>47118.41643518519</v>
      </c>
      <c r="CH67" s="5532" t="s">
        <v>19</v>
      </c>
      <c r="CI67" s="6293"/>
      <c r="CJ67" s="6293"/>
      <c r="CK67" s="6293"/>
      <c r="CL67" s="6293"/>
      <c r="CM67" s="4724"/>
      <c r="CN67" s="4725"/>
      <c r="CO67" s="4726" t="s">
        <v>64</v>
      </c>
      <c r="CP67" s="4725"/>
      <c r="CQ67" s="4726" t="s">
        <v>64</v>
      </c>
      <c r="CR67" s="6293"/>
      <c r="CS67" s="6293"/>
      <c r="CT67" s="6293"/>
      <c r="CU67" s="6293"/>
      <c r="CV67" s="4724"/>
      <c r="CW67" s="4725"/>
      <c r="CX67" s="4726" t="s">
        <v>64</v>
      </c>
      <c r="CY67" s="4725"/>
      <c r="CZ67" s="6554" t="s">
        <v>64</v>
      </c>
      <c r="DA67" s="3790"/>
      <c r="DB67" s="4962" t="s">
        <v>462</v>
      </c>
      <c r="DC67" s="5305">
        <f>STRCHECKDATE(X69:DA69)</f>
      </c>
      <c r="DD67" s="5748"/>
      <c r="DE67" s="5748" t="str">
        <f>IF(V67="","",V67)</f>
        <v>вода</v>
      </c>
      <c r="DF67" s="5748"/>
      <c r="DG67" s="5748"/>
      <c r="DH67" s="5796">
        <v>0</v>
      </c>
    </row>
    <row s="6516" customFormat="1" customHeight="1" ht="21">
      <c r="A68" s="4614"/>
      <c r="B68" s="4614"/>
      <c r="C68" s="4614"/>
      <c r="D68" s="4614"/>
      <c r="E68" s="4988"/>
      <c r="F68" s="4988"/>
      <c r="G68" s="4988"/>
      <c r="H68" s="4988"/>
      <c r="I68" s="6007"/>
      <c r="J68" s="6007" t="str">
        <f>I53&amp;".2"</f>
        <v>1.1.1.1.1.2</v>
      </c>
      <c r="K68" s="6007"/>
      <c r="L68" s="6148" t="str">
        <f>K67&amp;".1"</f>
        <v>1.1.1.1.1.3.1.1</v>
      </c>
      <c r="M68" s="4607"/>
      <c r="N68" s="5796"/>
      <c r="O68" s="5796"/>
      <c r="P68" s="5796"/>
      <c r="Q68" s="6461"/>
      <c r="R68" s="6461"/>
      <c r="S68" s="6461"/>
      <c r="T68" s="4063"/>
      <c r="U68" s="6458" t="str">
        <f>$L68</f>
        <v>1.1.1.1.1.3.1.1</v>
      </c>
      <c r="V68" s="4963"/>
      <c r="W68" s="4066"/>
      <c r="X68" s="6293"/>
      <c r="Y68" s="6293"/>
      <c r="Z68" s="6293"/>
      <c r="AA68" s="6293"/>
      <c r="AB68" s="4724"/>
      <c r="AC68" s="4725"/>
      <c r="AD68" s="4726"/>
      <c r="AE68" s="4725"/>
      <c r="AF68" s="4726"/>
      <c r="AG68" s="4961"/>
      <c r="AH68" s="5178"/>
      <c r="AI68" s="5178"/>
      <c r="AJ68" s="5178"/>
      <c r="AK68" s="3791"/>
      <c r="AL68" s="6292"/>
      <c r="AM68" s="5532"/>
      <c r="AN68" s="6292"/>
      <c r="AO68" s="5532"/>
      <c r="AP68" s="3790"/>
      <c r="AQ68" s="5178"/>
      <c r="AR68" s="5178"/>
      <c r="AS68" s="5178"/>
      <c r="AT68" s="4960"/>
      <c r="AU68" s="6292"/>
      <c r="AV68" s="5532"/>
      <c r="AW68" s="6292"/>
      <c r="AX68" s="5532"/>
      <c r="AY68" s="3790"/>
      <c r="AZ68" s="5178"/>
      <c r="BA68" s="5178"/>
      <c r="BB68" s="5178"/>
      <c r="BC68" s="4960"/>
      <c r="BD68" s="6292"/>
      <c r="BE68" s="5532"/>
      <c r="BF68" s="6292"/>
      <c r="BG68" s="5532"/>
      <c r="BH68" s="3790"/>
      <c r="BI68" s="5178"/>
      <c r="BJ68" s="5178"/>
      <c r="BK68" s="5178"/>
      <c r="BL68" s="4960"/>
      <c r="BM68" s="6292"/>
      <c r="BN68" s="5532"/>
      <c r="BO68" s="6292"/>
      <c r="BP68" s="5532"/>
      <c r="BQ68" s="3790"/>
      <c r="BR68" s="5178"/>
      <c r="BS68" s="5178"/>
      <c r="BT68" s="5178"/>
      <c r="BU68" s="4960"/>
      <c r="BV68" s="6292"/>
      <c r="BW68" s="5532"/>
      <c r="BX68" s="6292"/>
      <c r="BY68" s="5532"/>
      <c r="BZ68" s="3790"/>
      <c r="CA68" s="5178"/>
      <c r="CB68" s="5178"/>
      <c r="CC68" s="5178"/>
      <c r="CD68" s="4960"/>
      <c r="CE68" s="6292"/>
      <c r="CF68" s="5532"/>
      <c r="CG68" s="6292"/>
      <c r="CH68" s="5532"/>
      <c r="CI68" s="6293"/>
      <c r="CJ68" s="6293"/>
      <c r="CK68" s="6293"/>
      <c r="CL68" s="6293"/>
      <c r="CM68" s="4724"/>
      <c r="CN68" s="4725"/>
      <c r="CO68" s="4726"/>
      <c r="CP68" s="4725"/>
      <c r="CQ68" s="4726"/>
      <c r="CR68" s="6293"/>
      <c r="CS68" s="6293"/>
      <c r="CT68" s="6293"/>
      <c r="CU68" s="6293"/>
      <c r="CV68" s="4724"/>
      <c r="CW68" s="4725"/>
      <c r="CX68" s="4726"/>
      <c r="CY68" s="4725"/>
      <c r="CZ68" s="6554"/>
      <c r="DA68" s="3790"/>
      <c r="DB68" s="4071" t="s">
        <v>463</v>
      </c>
      <c r="DC68" s="5305"/>
      <c r="DD68" s="5748"/>
      <c r="DE68" s="5748"/>
      <c r="DF68" s="5748"/>
      <c r="DG68" s="5748"/>
      <c r="DH68" s="5796">
        <v>0</v>
      </c>
    </row>
    <row s="6516" customFormat="1" customHeight="1" ht="14.25">
      <c r="A69" s="4614"/>
      <c r="B69" s="4614"/>
      <c r="C69" s="4614"/>
      <c r="D69" s="4614"/>
      <c r="E69" s="4988"/>
      <c r="F69" s="4988"/>
      <c r="G69" s="4988"/>
      <c r="H69" s="4988"/>
      <c r="I69" s="6007"/>
      <c r="J69" s="6007" t="str">
        <f>I53&amp;".2"</f>
        <v>1.1.1.1.1.2</v>
      </c>
      <c r="K69" s="6007"/>
      <c r="L69" s="6148"/>
      <c r="M69" s="4607"/>
      <c r="N69" s="5796"/>
      <c r="O69" s="5796"/>
      <c r="P69" s="5796"/>
      <c r="Q69" s="6461"/>
      <c r="R69" s="6461"/>
      <c r="S69" s="6461"/>
      <c r="T69" s="4063"/>
      <c r="U69" s="6463"/>
      <c r="V69" s="4066"/>
      <c r="W69" s="4066"/>
      <c r="X69" s="6293"/>
      <c r="Y69" s="6293"/>
      <c r="Z69" s="6293"/>
      <c r="AA69" s="6293"/>
      <c r="AB69" s="4724"/>
      <c r="AC69" s="4725"/>
      <c r="AD69" s="4726"/>
      <c r="AE69" s="4725"/>
      <c r="AF69" s="4726"/>
      <c r="AG69" s="4966"/>
      <c r="AH69" s="3790"/>
      <c r="AI69" s="3790"/>
      <c r="AJ69" s="3790"/>
      <c r="AK69" s="3794" t="str">
        <f>AL67&amp;"-"&amp;AN67</f>
        <v>46023-46295.39758101852</v>
      </c>
      <c r="AL69" s="6292"/>
      <c r="AM69" s="5532"/>
      <c r="AN69" s="6292"/>
      <c r="AO69" s="5532"/>
      <c r="AP69" s="3790"/>
      <c r="AQ69" s="3790"/>
      <c r="AR69" s="3790"/>
      <c r="AS69" s="3790"/>
      <c r="AT69" s="4965" t="str">
        <f>AU67&amp;"-"&amp;AW67</f>
        <v>46296.402280092596-46387.402650462966</v>
      </c>
      <c r="AU69" s="6292"/>
      <c r="AV69" s="5532"/>
      <c r="AW69" s="6292"/>
      <c r="AX69" s="5532"/>
      <c r="AY69" s="3790"/>
      <c r="AZ69" s="3790"/>
      <c r="BA69" s="3790"/>
      <c r="BB69" s="3790"/>
      <c r="BC69" s="4965" t="str">
        <f>BD67&amp;"-"&amp;BF67</f>
        <v>46388-46568.405856481484</v>
      </c>
      <c r="BD69" s="6292"/>
      <c r="BE69" s="5532"/>
      <c r="BF69" s="6292"/>
      <c r="BG69" s="5532"/>
      <c r="BH69" s="3790"/>
      <c r="BI69" s="3790"/>
      <c r="BJ69" s="3790"/>
      <c r="BK69" s="3790"/>
      <c r="BL69" s="4965" t="str">
        <f>BM67&amp;"-"&amp;BO67</f>
        <v>46569.41800925926-46752.41818287037</v>
      </c>
      <c r="BM69" s="6292"/>
      <c r="BN69" s="5532"/>
      <c r="BO69" s="6292"/>
      <c r="BP69" s="5532"/>
      <c r="BQ69" s="3790"/>
      <c r="BR69" s="3790"/>
      <c r="BS69" s="3790"/>
      <c r="BT69" s="3790"/>
      <c r="BU69" s="4965" t="str">
        <f>BV67&amp;"-"&amp;BX67</f>
        <v>46753.410162037035-46934.410520833335</v>
      </c>
      <c r="BV69" s="6292"/>
      <c r="BW69" s="5532"/>
      <c r="BX69" s="6292"/>
      <c r="BY69" s="5532"/>
      <c r="BZ69" s="3790"/>
      <c r="CA69" s="3790"/>
      <c r="CB69" s="3790"/>
      <c r="CC69" s="3790"/>
      <c r="CD69" s="4965" t="str">
        <f>CE67&amp;"-"&amp;CG67</f>
        <v>46935-47118.41643518519</v>
      </c>
      <c r="CE69" s="6292"/>
      <c r="CF69" s="5532"/>
      <c r="CG69" s="6292"/>
      <c r="CH69" s="5532"/>
      <c r="CI69" s="6293"/>
      <c r="CJ69" s="6293"/>
      <c r="CK69" s="6293"/>
      <c r="CL69" s="6293"/>
      <c r="CM69" s="4724"/>
      <c r="CN69" s="4725"/>
      <c r="CO69" s="4726"/>
      <c r="CP69" s="4725"/>
      <c r="CQ69" s="4726"/>
      <c r="CR69" s="6293"/>
      <c r="CS69" s="6293"/>
      <c r="CT69" s="6293"/>
      <c r="CU69" s="6293"/>
      <c r="CV69" s="4724"/>
      <c r="CW69" s="4725"/>
      <c r="CX69" s="4726"/>
      <c r="CY69" s="4725"/>
      <c r="CZ69" s="6554"/>
      <c r="DA69" s="3790"/>
      <c r="DB69" s="4074"/>
      <c r="DC69" s="5305"/>
      <c r="DD69" s="5748"/>
      <c r="DE69" s="5748" t="str">
        <f>IF(V69="","",V69)</f>
        <v/>
      </c>
      <c r="DF69" s="5748"/>
      <c r="DG69" s="5748"/>
      <c r="DH69" s="5796">
        <v>0</v>
      </c>
    </row>
    <row s="6516" customFormat="1" customHeight="1" ht="11.25">
      <c r="A70" s="4614"/>
      <c r="B70" s="4614"/>
      <c r="C70" s="4614"/>
      <c r="D70" s="4614"/>
      <c r="E70" s="4988"/>
      <c r="F70" s="4988"/>
      <c r="G70" s="4988"/>
      <c r="H70" s="4988"/>
      <c r="I70" s="6007"/>
      <c r="J70" s="6007" t="str">
        <f>I53&amp;".2"</f>
        <v>1.1.1.1.1.2</v>
      </c>
      <c r="K70" s="6148"/>
      <c r="L70" s="4614"/>
      <c r="M70" s="4607"/>
      <c r="N70" s="5796"/>
      <c r="O70" s="5796"/>
      <c r="P70" s="5796"/>
      <c r="Q70" s="6461"/>
      <c r="R70" s="6461"/>
      <c r="S70" s="6461"/>
      <c r="T70" s="4063"/>
      <c r="U70" s="6952"/>
      <c r="V70" s="6953" t="s">
        <v>464</v>
      </c>
      <c r="W70" s="6954"/>
      <c r="X70" s="6293"/>
      <c r="Y70" s="6293"/>
      <c r="Z70" s="6293"/>
      <c r="AA70" s="6293"/>
      <c r="AB70" s="3794" t="str">
        <f>AC67&amp;"-"&amp;AE67</f>
        <v>-</v>
      </c>
      <c r="AC70" s="4726"/>
      <c r="AD70" s="4726"/>
      <c r="AE70" s="4726"/>
      <c r="AF70" s="4726"/>
      <c r="AG70" s="6960"/>
      <c r="AH70" s="6961"/>
      <c r="AI70" s="6962"/>
      <c r="AJ70" s="6963"/>
      <c r="AK70" s="6964"/>
      <c r="AL70" s="6292"/>
      <c r="AM70" s="5532"/>
      <c r="AN70" s="6292"/>
      <c r="AO70" s="5532"/>
      <c r="AP70" s="6965"/>
      <c r="AQ70" s="6966"/>
      <c r="AR70" s="6967"/>
      <c r="AS70" s="6968"/>
      <c r="AT70" s="6969"/>
      <c r="AU70" s="6292"/>
      <c r="AV70" s="5532"/>
      <c r="AW70" s="6292"/>
      <c r="AX70" s="5532"/>
      <c r="AY70" s="6970"/>
      <c r="AZ70" s="6971"/>
      <c r="BA70" s="6972"/>
      <c r="BB70" s="6973"/>
      <c r="BC70" s="6974"/>
      <c r="BD70" s="6292"/>
      <c r="BE70" s="5532"/>
      <c r="BF70" s="6292"/>
      <c r="BG70" s="5532"/>
      <c r="BH70" s="6975"/>
      <c r="BI70" s="6976"/>
      <c r="BJ70" s="6977"/>
      <c r="BK70" s="6978"/>
      <c r="BL70" s="6979"/>
      <c r="BM70" s="6292"/>
      <c r="BN70" s="5532"/>
      <c r="BO70" s="6292"/>
      <c r="BP70" s="5532"/>
      <c r="BQ70" s="6980"/>
      <c r="BR70" s="6981"/>
      <c r="BS70" s="6982"/>
      <c r="BT70" s="6983"/>
      <c r="BU70" s="6984"/>
      <c r="BV70" s="6292"/>
      <c r="BW70" s="5532"/>
      <c r="BX70" s="6292"/>
      <c r="BY70" s="5532"/>
      <c r="BZ70" s="6985"/>
      <c r="CA70" s="6986"/>
      <c r="CB70" s="6987"/>
      <c r="CC70" s="6988"/>
      <c r="CD70" s="6989"/>
      <c r="CE70" s="6292"/>
      <c r="CF70" s="5532"/>
      <c r="CG70" s="6292"/>
      <c r="CH70" s="5532"/>
      <c r="CI70" s="6293"/>
      <c r="CJ70" s="6293"/>
      <c r="CK70" s="6293"/>
      <c r="CL70" s="6293"/>
      <c r="CM70" s="3794" t="str">
        <f>CN67&amp;"-"&amp;CP67</f>
        <v>-</v>
      </c>
      <c r="CN70" s="4726"/>
      <c r="CO70" s="4726"/>
      <c r="CP70" s="4726"/>
      <c r="CQ70" s="4726"/>
      <c r="CR70" s="6293"/>
      <c r="CS70" s="6293"/>
      <c r="CT70" s="6293"/>
      <c r="CU70" s="6293"/>
      <c r="CV70" s="3794" t="str">
        <f>CW67&amp;"-"&amp;CY67</f>
        <v>-</v>
      </c>
      <c r="CW70" s="4726"/>
      <c r="CX70" s="4726"/>
      <c r="CY70" s="4726"/>
      <c r="CZ70" s="6554"/>
      <c r="DA70" s="7000"/>
      <c r="DB70" s="4074"/>
      <c r="DC70" s="5305"/>
      <c r="DD70" s="5748"/>
      <c r="DE70" s="5748"/>
      <c r="DF70" s="5748"/>
      <c r="DG70" s="5748"/>
      <c r="DH70" s="5796">
        <v>0</v>
      </c>
    </row>
    <row s="6516" customFormat="1" customHeight="1" ht="15">
      <c r="A71" s="4614"/>
      <c r="B71" s="4614"/>
      <c r="C71" s="4614"/>
      <c r="D71" s="4614"/>
      <c r="E71" s="4988"/>
      <c r="F71" s="4988"/>
      <c r="G71" s="4988"/>
      <c r="H71" s="4988"/>
      <c r="I71" s="6007"/>
      <c r="J71" s="6148" t="str">
        <f>I53&amp;".2"</f>
        <v>1.1.1.1.1.2</v>
      </c>
      <c r="K71" s="4614"/>
      <c r="L71" s="4614"/>
      <c r="M71" s="4607"/>
      <c r="N71" s="5796"/>
      <c r="O71" s="5796"/>
      <c r="P71" s="6479"/>
      <c r="Q71" s="6461"/>
      <c r="R71" s="6461"/>
      <c r="S71" s="6461"/>
      <c r="T71" s="4076"/>
      <c r="U71" s="7001"/>
      <c r="V71" s="7002" t="s">
        <v>420</v>
      </c>
      <c r="W71" s="7003"/>
      <c r="X71" s="7004"/>
      <c r="Y71" s="7005"/>
      <c r="Z71" s="7006"/>
      <c r="AA71" s="7007"/>
      <c r="AB71" s="7008"/>
      <c r="AC71" s="7009"/>
      <c r="AD71" s="7010"/>
      <c r="AE71" s="7011"/>
      <c r="AF71" s="7012"/>
      <c r="AG71" s="7013"/>
      <c r="AH71" s="7014"/>
      <c r="AI71" s="7015"/>
      <c r="AJ71" s="7016"/>
      <c r="AK71" s="7017"/>
      <c r="AL71" s="7018"/>
      <c r="AM71" s="7019"/>
      <c r="AN71" s="7020"/>
      <c r="AO71" s="7021"/>
      <c r="AP71" s="7022"/>
      <c r="AQ71" s="7023"/>
      <c r="AR71" s="7024"/>
      <c r="AS71" s="7025"/>
      <c r="AT71" s="7026"/>
      <c r="AU71" s="7027"/>
      <c r="AV71" s="7028"/>
      <c r="AW71" s="7029"/>
      <c r="AX71" s="7030"/>
      <c r="AY71" s="7031"/>
      <c r="AZ71" s="7032"/>
      <c r="BA71" s="7033"/>
      <c r="BB71" s="7034"/>
      <c r="BC71" s="7035"/>
      <c r="BD71" s="7036"/>
      <c r="BE71" s="7037"/>
      <c r="BF71" s="7038"/>
      <c r="BG71" s="7039"/>
      <c r="BH71" s="7040"/>
      <c r="BI71" s="7041"/>
      <c r="BJ71" s="7042"/>
      <c r="BK71" s="7043"/>
      <c r="BL71" s="7044"/>
      <c r="BM71" s="7045"/>
      <c r="BN71" s="7046"/>
      <c r="BO71" s="7047"/>
      <c r="BP71" s="7048"/>
      <c r="BQ71" s="7049"/>
      <c r="BR71" s="7050"/>
      <c r="BS71" s="7051"/>
      <c r="BT71" s="7052"/>
      <c r="BU71" s="7053"/>
      <c r="BV71" s="7054"/>
      <c r="BW71" s="7055"/>
      <c r="BX71" s="7056"/>
      <c r="BY71" s="7057"/>
      <c r="BZ71" s="7058"/>
      <c r="CA71" s="7059"/>
      <c r="CB71" s="7060"/>
      <c r="CC71" s="7061"/>
      <c r="CD71" s="7062"/>
      <c r="CE71" s="7063"/>
      <c r="CF71" s="7064"/>
      <c r="CG71" s="7065"/>
      <c r="CH71" s="7066"/>
      <c r="CI71" s="7067"/>
      <c r="CJ71" s="7068"/>
      <c r="CK71" s="7069"/>
      <c r="CL71" s="7070"/>
      <c r="CM71" s="7071"/>
      <c r="CN71" s="7072"/>
      <c r="CO71" s="7073"/>
      <c r="CP71" s="7074"/>
      <c r="CQ71" s="7075"/>
      <c r="CR71" s="7076"/>
      <c r="CS71" s="7077"/>
      <c r="CT71" s="7078"/>
      <c r="CU71" s="7079"/>
      <c r="CV71" s="7080"/>
      <c r="CW71" s="7081"/>
      <c r="CX71" s="7082"/>
      <c r="CY71" s="7083"/>
      <c r="CZ71" s="7157"/>
      <c r="DA71" s="7085"/>
      <c r="DB71" s="4153"/>
      <c r="DC71" s="5305"/>
      <c r="DD71" s="5748"/>
      <c r="DE71" s="5748" t="str">
        <f>IF(V71="","",V71)</f>
        <v>Добавить вид теплоносителя (параметры теплоносителя)</v>
      </c>
      <c r="DF71" s="5748"/>
      <c r="DG71" s="5748"/>
      <c r="DH71" s="5796">
        <v>0</v>
      </c>
    </row>
    <row customHeight="1" ht="11.549999999999999">
      <c r="A72" s="1332" t="s">
        <v>185</v>
      </c>
      <c r="B72" s="1332" t="s">
        <v>186</v>
      </c>
      <c r="C72" s="1332" t="s">
        <v>187</v>
      </c>
      <c r="D72" s="1332" t="s">
        <v>188</v>
      </c>
      <c r="E72" s="2355"/>
      <c r="F72" s="2355"/>
      <c r="G72" s="2355"/>
      <c r="H72" s="2376"/>
      <c r="I72" s="2192"/>
      <c r="J72" s="1332"/>
      <c r="K72" s="1332"/>
      <c r="L72" s="1332"/>
      <c r="M72" s="1375"/>
      <c r="Q72" s="2322"/>
      <c r="R72" s="1396"/>
      <c r="S72" s="1396"/>
      <c r="T72" s="421"/>
      <c r="U72" s="1343"/>
      <c r="V72" s="430" t="s">
        <v>421</v>
      </c>
      <c r="W72" s="432"/>
      <c r="X72" s="432"/>
      <c r="Y72" s="432"/>
      <c r="Z72" s="432"/>
      <c r="AA72" s="432"/>
      <c r="AB72" s="432"/>
      <c r="AC72" s="432"/>
      <c r="AD72" s="432"/>
      <c r="AE72" s="432"/>
      <c r="AF72" s="431"/>
      <c r="AG72" s="432"/>
      <c r="AH72" s="432"/>
      <c r="AI72" s="432"/>
      <c r="AJ72" s="432"/>
      <c r="AK72" s="432"/>
      <c r="AL72" s="432"/>
      <c r="AM72" s="432"/>
      <c r="AN72" s="432"/>
      <c r="AO72" s="431"/>
      <c r="AP72" s="7086"/>
      <c r="AQ72" s="7087"/>
      <c r="AR72" s="7088"/>
      <c r="AS72" s="7089"/>
      <c r="AT72" s="7090"/>
      <c r="AU72" s="7091"/>
      <c r="AV72" s="7092"/>
      <c r="AW72" s="7093"/>
      <c r="AX72" s="7094"/>
      <c r="AY72" s="7095"/>
      <c r="AZ72" s="7096"/>
      <c r="BA72" s="7097"/>
      <c r="BB72" s="7098"/>
      <c r="BC72" s="7099"/>
      <c r="BD72" s="7100"/>
      <c r="BE72" s="7101"/>
      <c r="BF72" s="7102"/>
      <c r="BG72" s="7103"/>
      <c r="BH72" s="7104"/>
      <c r="BI72" s="7105"/>
      <c r="BJ72" s="7106"/>
      <c r="BK72" s="7107"/>
      <c r="BL72" s="7108"/>
      <c r="BM72" s="7109"/>
      <c r="BN72" s="7110"/>
      <c r="BO72" s="7111"/>
      <c r="BP72" s="7112"/>
      <c r="BQ72" s="7113"/>
      <c r="BR72" s="7114"/>
      <c r="BS72" s="7115"/>
      <c r="BT72" s="7116"/>
      <c r="BU72" s="7117"/>
      <c r="BV72" s="7118"/>
      <c r="BW72" s="7119"/>
      <c r="BX72" s="7120"/>
      <c r="BY72" s="7121"/>
      <c r="BZ72" s="7122"/>
      <c r="CA72" s="7123"/>
      <c r="CB72" s="7124"/>
      <c r="CC72" s="7125"/>
      <c r="CD72" s="7126"/>
      <c r="CE72" s="7127"/>
      <c r="CF72" s="7128"/>
      <c r="CG72" s="7129"/>
      <c r="CH72" s="7130"/>
      <c r="CI72" s="7131"/>
      <c r="CJ72" s="7132"/>
      <c r="CK72" s="7133"/>
      <c r="CL72" s="7134"/>
      <c r="CM72" s="7135"/>
      <c r="CN72" s="7136"/>
      <c r="CO72" s="7137"/>
      <c r="CP72" s="7138"/>
      <c r="CQ72" s="7139"/>
      <c r="CR72" s="7140"/>
      <c r="CS72" s="7141"/>
      <c r="CT72" s="7142"/>
      <c r="CU72" s="7143"/>
      <c r="CV72" s="7144"/>
      <c r="CW72" s="7145"/>
      <c r="CX72" s="7146"/>
      <c r="CY72" s="7147"/>
      <c r="CZ72" s="7158"/>
      <c r="DA72" s="432"/>
      <c r="DB72" s="368"/>
      <c r="DD72" s="565"/>
      <c r="DE72" s="565" t="str">
        <f>IF(V72="","",V72)</f>
        <v>Добавить группу потребителей</v>
      </c>
      <c r="DF72" s="565"/>
      <c r="DG72" s="565"/>
      <c r="DH72" s="1220">
        <v>11</v>
      </c>
    </row>
    <row customHeight="1" ht="0">
      <c r="A73" s="1332" t="s">
        <v>185</v>
      </c>
      <c r="B73" s="1332" t="s">
        <v>186</v>
      </c>
      <c r="C73" s="1332" t="s">
        <v>187</v>
      </c>
      <c r="D73" s="1332" t="s">
        <v>188</v>
      </c>
      <c r="E73" s="2355"/>
      <c r="F73" s="2355"/>
      <c r="G73" s="2355"/>
      <c r="H73" s="2375"/>
      <c r="I73" s="1332"/>
      <c r="J73" s="1332"/>
      <c r="K73" s="1332"/>
      <c r="L73" s="1332"/>
      <c r="M73" s="1375"/>
      <c r="N73" s="753"/>
      <c r="O73" s="753"/>
      <c r="P73" s="574"/>
      <c r="Q73" s="425"/>
      <c r="R73" s="440"/>
      <c r="S73" s="420"/>
      <c r="T73" s="425"/>
      <c r="U73" s="1451"/>
      <c r="V73" s="1452"/>
      <c r="W73" s="1453"/>
      <c r="X73" s="1453"/>
      <c r="Y73" s="1453"/>
      <c r="Z73" s="1453"/>
      <c r="AA73" s="1453"/>
      <c r="AB73" s="1453"/>
      <c r="AC73" s="1453"/>
      <c r="AD73" s="1453"/>
      <c r="AE73" s="1453"/>
      <c r="AF73" s="1453"/>
      <c r="AG73" s="1453"/>
      <c r="AH73" s="1453"/>
      <c r="AI73" s="1453"/>
      <c r="AJ73" s="1453"/>
      <c r="AK73" s="1453"/>
      <c r="AL73" s="1453"/>
      <c r="AM73" s="1453"/>
      <c r="AN73" s="1453"/>
      <c r="AO73" s="1453"/>
      <c r="AP73" s="4720"/>
      <c r="AQ73" s="4720"/>
      <c r="AR73" s="4720"/>
      <c r="AS73" s="4720"/>
      <c r="AT73" s="4720"/>
      <c r="AU73" s="4720"/>
      <c r="AV73" s="4720"/>
      <c r="AW73" s="4720"/>
      <c r="AX73" s="4720"/>
      <c r="AY73" s="4720"/>
      <c r="AZ73" s="4720"/>
      <c r="BA73" s="4720"/>
      <c r="BB73" s="4720"/>
      <c r="BC73" s="4720"/>
      <c r="BD73" s="4720"/>
      <c r="BE73" s="4720"/>
      <c r="BF73" s="4720"/>
      <c r="BG73" s="4720"/>
      <c r="BH73" s="4720"/>
      <c r="BI73" s="4720"/>
      <c r="BJ73" s="4720"/>
      <c r="BK73" s="4720"/>
      <c r="BL73" s="4720"/>
      <c r="BM73" s="4720"/>
      <c r="BN73" s="4720"/>
      <c r="BO73" s="4720"/>
      <c r="BP73" s="4720"/>
      <c r="BQ73" s="4720"/>
      <c r="BR73" s="4720"/>
      <c r="BS73" s="4720"/>
      <c r="BT73" s="4720"/>
      <c r="BU73" s="4720"/>
      <c r="BV73" s="4720"/>
      <c r="BW73" s="4720"/>
      <c r="BX73" s="4720"/>
      <c r="BY73" s="4720"/>
      <c r="BZ73" s="4720"/>
      <c r="CA73" s="4720"/>
      <c r="CB73" s="4720"/>
      <c r="CC73" s="4720"/>
      <c r="CD73" s="4720"/>
      <c r="CE73" s="4720"/>
      <c r="CF73" s="4720"/>
      <c r="CG73" s="4720"/>
      <c r="CH73" s="4720"/>
      <c r="CI73" s="4720"/>
      <c r="CJ73" s="4720"/>
      <c r="CK73" s="4720"/>
      <c r="CL73" s="4720"/>
      <c r="CM73" s="4720"/>
      <c r="CN73" s="4720"/>
      <c r="CO73" s="4720"/>
      <c r="CP73" s="4720"/>
      <c r="CQ73" s="4720"/>
      <c r="CR73" s="4720"/>
      <c r="CS73" s="4720"/>
      <c r="CT73" s="4720"/>
      <c r="CU73" s="4720"/>
      <c r="CV73" s="4720"/>
      <c r="CW73" s="4720"/>
      <c r="CX73" s="4720"/>
      <c r="CY73" s="4720"/>
      <c r="CZ73" s="4720"/>
      <c r="DA73" s="1453"/>
      <c r="DB73" s="1454"/>
      <c r="DD73" s="565"/>
      <c r="DE73" s="565" t="str">
        <f>IF(V73="","",V73)</f>
        <v/>
      </c>
      <c r="DF73" s="565"/>
      <c r="DG73" s="565"/>
      <c r="DH73" s="1220">
        <v>0</v>
      </c>
    </row>
    <row s="5305" customFormat="1" customHeight="1" ht="0">
      <c r="A74" s="1440" t="s">
        <v>185</v>
      </c>
      <c r="B74" s="1440" t="s">
        <v>186</v>
      </c>
      <c r="C74" s="1440" t="s">
        <v>187</v>
      </c>
      <c r="D74" s="1439"/>
      <c r="E74" s="2355"/>
      <c r="F74" s="2355"/>
      <c r="G74" s="2354"/>
      <c r="H74" s="1439"/>
      <c r="I74" s="1439"/>
      <c r="J74" s="1439"/>
      <c r="K74" s="1439"/>
      <c r="L74" s="1439"/>
      <c r="M74" s="1442"/>
      <c r="N74" s="1443"/>
      <c r="O74" s="1443"/>
      <c r="P74" s="416"/>
      <c r="Q74" s="1381"/>
      <c r="R74" s="1382"/>
      <c r="S74" s="1381"/>
      <c r="T74" s="1381"/>
      <c r="U74" s="1387"/>
      <c r="V74" s="1390" t="s">
        <v>170</v>
      </c>
      <c r="W74" s="1389"/>
      <c r="X74" s="1389"/>
      <c r="Y74" s="1389"/>
      <c r="Z74" s="1389"/>
      <c r="AA74" s="1389"/>
      <c r="AB74" s="1389"/>
      <c r="AC74" s="1389"/>
      <c r="AD74" s="1389"/>
      <c r="AE74" s="1389"/>
      <c r="AF74" s="1389"/>
      <c r="AG74" s="1389"/>
      <c r="AH74" s="1389"/>
      <c r="AI74" s="1389"/>
      <c r="AJ74" s="1389"/>
      <c r="AK74" s="1389"/>
      <c r="AL74" s="1389"/>
      <c r="AM74" s="1389"/>
      <c r="AN74" s="1389"/>
      <c r="AO74" s="1389"/>
      <c r="AP74" s="5555"/>
      <c r="AQ74" s="5555"/>
      <c r="AR74" s="5555"/>
      <c r="AS74" s="5555"/>
      <c r="AT74" s="5555"/>
      <c r="AU74" s="5555"/>
      <c r="AV74" s="5555"/>
      <c r="AW74" s="5555"/>
      <c r="AX74" s="5555"/>
      <c r="AY74" s="5555"/>
      <c r="AZ74" s="5555"/>
      <c r="BA74" s="5555"/>
      <c r="BB74" s="5555"/>
      <c r="BC74" s="5555"/>
      <c r="BD74" s="5555"/>
      <c r="BE74" s="5555"/>
      <c r="BF74" s="5555"/>
      <c r="BG74" s="5555"/>
      <c r="BH74" s="5555"/>
      <c r="BI74" s="5555"/>
      <c r="BJ74" s="5555"/>
      <c r="BK74" s="5555"/>
      <c r="BL74" s="5555"/>
      <c r="BM74" s="5555"/>
      <c r="BN74" s="5555"/>
      <c r="BO74" s="5555"/>
      <c r="BP74" s="5555"/>
      <c r="BQ74" s="5555"/>
      <c r="BR74" s="5555"/>
      <c r="BS74" s="5555"/>
      <c r="BT74" s="5555"/>
      <c r="BU74" s="5555"/>
      <c r="BV74" s="5555"/>
      <c r="BW74" s="5555"/>
      <c r="BX74" s="5555"/>
      <c r="BY74" s="5555"/>
      <c r="BZ74" s="5555"/>
      <c r="CA74" s="5555"/>
      <c r="CB74" s="5555"/>
      <c r="CC74" s="5555"/>
      <c r="CD74" s="5555"/>
      <c r="CE74" s="5555"/>
      <c r="CF74" s="5555"/>
      <c r="CG74" s="5555"/>
      <c r="CH74" s="5555"/>
      <c r="CI74" s="5555"/>
      <c r="CJ74" s="5555"/>
      <c r="CK74" s="5555"/>
      <c r="CL74" s="5555"/>
      <c r="CM74" s="5555"/>
      <c r="CN74" s="5555"/>
      <c r="CO74" s="5555"/>
      <c r="CP74" s="5555"/>
      <c r="CQ74" s="5555"/>
      <c r="CR74" s="5555"/>
      <c r="CS74" s="5555"/>
      <c r="CT74" s="5555"/>
      <c r="CU74" s="5555"/>
      <c r="CV74" s="5555"/>
      <c r="CW74" s="5555"/>
      <c r="CX74" s="5555"/>
      <c r="CY74" s="5555"/>
      <c r="CZ74" s="5555"/>
      <c r="DA74" s="1389"/>
      <c r="DB74" s="1389"/>
      <c r="DD74" s="854"/>
      <c r="DE74" s="854" t="str">
        <f>IF(V74="","",V74)</f>
        <v>Добавить источник для дифференциации</v>
      </c>
      <c r="DF74" s="854"/>
      <c r="DG74" s="854"/>
      <c r="DH74" s="583">
        <v>0</v>
      </c>
    </row>
    <row s="5305" customFormat="1" customHeight="1" ht="0">
      <c r="A75" s="1440" t="s">
        <v>185</v>
      </c>
      <c r="B75" s="1440" t="s">
        <v>186</v>
      </c>
      <c r="C75" s="1439"/>
      <c r="D75" s="1439"/>
      <c r="E75" s="2355"/>
      <c r="F75" s="2354"/>
      <c r="G75" s="1439"/>
      <c r="H75" s="1439"/>
      <c r="I75" s="1439"/>
      <c r="J75" s="1439"/>
      <c r="K75" s="1439"/>
      <c r="L75" s="1439"/>
      <c r="M75" s="1442"/>
      <c r="N75" s="1444"/>
      <c r="O75" s="1444"/>
      <c r="P75" s="416"/>
      <c r="Q75" s="1381"/>
      <c r="R75" s="1382"/>
      <c r="S75" s="1381"/>
      <c r="T75" s="1381"/>
      <c r="U75" s="1387"/>
      <c r="V75" s="1390" t="s">
        <v>171</v>
      </c>
      <c r="W75" s="1389"/>
      <c r="X75" s="1389"/>
      <c r="Y75" s="1389"/>
      <c r="Z75" s="1389"/>
      <c r="AA75" s="1389"/>
      <c r="AB75" s="1389"/>
      <c r="AC75" s="1389"/>
      <c r="AD75" s="1389"/>
      <c r="AE75" s="1389"/>
      <c r="AF75" s="1389"/>
      <c r="AG75" s="1389"/>
      <c r="AH75" s="1389"/>
      <c r="AI75" s="1389"/>
      <c r="AJ75" s="1389"/>
      <c r="AK75" s="1389"/>
      <c r="AL75" s="1389"/>
      <c r="AM75" s="1389"/>
      <c r="AN75" s="1389"/>
      <c r="AO75" s="1389"/>
      <c r="AP75" s="5555"/>
      <c r="AQ75" s="5555"/>
      <c r="AR75" s="5555"/>
      <c r="AS75" s="5555"/>
      <c r="AT75" s="5555"/>
      <c r="AU75" s="5555"/>
      <c r="AV75" s="5555"/>
      <c r="AW75" s="5555"/>
      <c r="AX75" s="5555"/>
      <c r="AY75" s="5555"/>
      <c r="AZ75" s="5555"/>
      <c r="BA75" s="5555"/>
      <c r="BB75" s="5555"/>
      <c r="BC75" s="5555"/>
      <c r="BD75" s="5555"/>
      <c r="BE75" s="5555"/>
      <c r="BF75" s="5555"/>
      <c r="BG75" s="5555"/>
      <c r="BH75" s="5555"/>
      <c r="BI75" s="5555"/>
      <c r="BJ75" s="5555"/>
      <c r="BK75" s="5555"/>
      <c r="BL75" s="5555"/>
      <c r="BM75" s="5555"/>
      <c r="BN75" s="5555"/>
      <c r="BO75" s="5555"/>
      <c r="BP75" s="5555"/>
      <c r="BQ75" s="5555"/>
      <c r="BR75" s="5555"/>
      <c r="BS75" s="5555"/>
      <c r="BT75" s="5555"/>
      <c r="BU75" s="5555"/>
      <c r="BV75" s="5555"/>
      <c r="BW75" s="5555"/>
      <c r="BX75" s="5555"/>
      <c r="BY75" s="5555"/>
      <c r="BZ75" s="5555"/>
      <c r="CA75" s="5555"/>
      <c r="CB75" s="5555"/>
      <c r="CC75" s="5555"/>
      <c r="CD75" s="5555"/>
      <c r="CE75" s="5555"/>
      <c r="CF75" s="5555"/>
      <c r="CG75" s="5555"/>
      <c r="CH75" s="5555"/>
      <c r="CI75" s="5555"/>
      <c r="CJ75" s="5555"/>
      <c r="CK75" s="5555"/>
      <c r="CL75" s="5555"/>
      <c r="CM75" s="5555"/>
      <c r="CN75" s="5555"/>
      <c r="CO75" s="5555"/>
      <c r="CP75" s="5555"/>
      <c r="CQ75" s="5555"/>
      <c r="CR75" s="5555"/>
      <c r="CS75" s="5555"/>
      <c r="CT75" s="5555"/>
      <c r="CU75" s="5555"/>
      <c r="CV75" s="5555"/>
      <c r="CW75" s="5555"/>
      <c r="CX75" s="5555"/>
      <c r="CY75" s="5555"/>
      <c r="CZ75" s="5555"/>
      <c r="DA75" s="1389"/>
      <c r="DB75" s="1389"/>
      <c r="DD75" s="854"/>
      <c r="DE75" s="854" t="str">
        <f>IF(V75="","",V75)</f>
        <v>Добавить централизованную систему для дифференциации</v>
      </c>
      <c r="DF75" s="854"/>
      <c r="DG75" s="854"/>
      <c r="DH75" s="583">
        <v>0</v>
      </c>
    </row>
    <row s="5305" customFormat="1" customHeight="1" ht="0">
      <c r="A76" s="1440" t="s">
        <v>185</v>
      </c>
      <c r="B76" s="1440"/>
      <c r="C76" s="1440"/>
      <c r="D76" s="1440"/>
      <c r="E76" s="2354"/>
      <c r="F76" s="1440"/>
      <c r="G76" s="1440"/>
      <c r="H76" s="1440"/>
      <c r="I76" s="1440"/>
      <c r="J76" s="1440"/>
      <c r="K76" s="1440"/>
      <c r="L76" s="1440"/>
      <c r="M76" s="1446"/>
      <c r="N76" s="1444"/>
      <c r="O76" s="1444"/>
      <c r="P76" s="416"/>
      <c r="Q76" s="445"/>
      <c r="R76" s="1409"/>
      <c r="S76" s="445"/>
      <c r="T76" s="445"/>
      <c r="U76" s="1387"/>
      <c r="V76" s="1390" t="s">
        <v>172</v>
      </c>
      <c r="W76" s="1389"/>
      <c r="X76" s="1389"/>
      <c r="Y76" s="1389"/>
      <c r="Z76" s="1389"/>
      <c r="AA76" s="1389"/>
      <c r="AB76" s="1389"/>
      <c r="AC76" s="1389"/>
      <c r="AD76" s="1389"/>
      <c r="AE76" s="1389"/>
      <c r="AF76" s="1389"/>
      <c r="AG76" s="1389"/>
      <c r="AH76" s="1389"/>
      <c r="AI76" s="1389"/>
      <c r="AJ76" s="1389"/>
      <c r="AK76" s="1389"/>
      <c r="AL76" s="1389"/>
      <c r="AM76" s="1389"/>
      <c r="AN76" s="1389"/>
      <c r="AO76" s="1389"/>
      <c r="AP76" s="5555"/>
      <c r="AQ76" s="5555"/>
      <c r="AR76" s="5555"/>
      <c r="AS76" s="5555"/>
      <c r="AT76" s="5555"/>
      <c r="AU76" s="5555"/>
      <c r="AV76" s="5555"/>
      <c r="AW76" s="5555"/>
      <c r="AX76" s="5555"/>
      <c r="AY76" s="5555"/>
      <c r="AZ76" s="5555"/>
      <c r="BA76" s="5555"/>
      <c r="BB76" s="5555"/>
      <c r="BC76" s="5555"/>
      <c r="BD76" s="5555"/>
      <c r="BE76" s="5555"/>
      <c r="BF76" s="5555"/>
      <c r="BG76" s="5555"/>
      <c r="BH76" s="5555"/>
      <c r="BI76" s="5555"/>
      <c r="BJ76" s="5555"/>
      <c r="BK76" s="5555"/>
      <c r="BL76" s="5555"/>
      <c r="BM76" s="5555"/>
      <c r="BN76" s="5555"/>
      <c r="BO76" s="5555"/>
      <c r="BP76" s="5555"/>
      <c r="BQ76" s="5555"/>
      <c r="BR76" s="5555"/>
      <c r="BS76" s="5555"/>
      <c r="BT76" s="5555"/>
      <c r="BU76" s="5555"/>
      <c r="BV76" s="5555"/>
      <c r="BW76" s="5555"/>
      <c r="BX76" s="5555"/>
      <c r="BY76" s="5555"/>
      <c r="BZ76" s="5555"/>
      <c r="CA76" s="5555"/>
      <c r="CB76" s="5555"/>
      <c r="CC76" s="5555"/>
      <c r="CD76" s="5555"/>
      <c r="CE76" s="5555"/>
      <c r="CF76" s="5555"/>
      <c r="CG76" s="5555"/>
      <c r="CH76" s="5555"/>
      <c r="CI76" s="5555"/>
      <c r="CJ76" s="5555"/>
      <c r="CK76" s="5555"/>
      <c r="CL76" s="5555"/>
      <c r="CM76" s="5555"/>
      <c r="CN76" s="5555"/>
      <c r="CO76" s="5555"/>
      <c r="CP76" s="5555"/>
      <c r="CQ76" s="5555"/>
      <c r="CR76" s="5555"/>
      <c r="CS76" s="5555"/>
      <c r="CT76" s="5555"/>
      <c r="CU76" s="5555"/>
      <c r="CV76" s="5555"/>
      <c r="CW76" s="5555"/>
      <c r="CX76" s="5555"/>
      <c r="CY76" s="5555"/>
      <c r="CZ76" s="5555"/>
      <c r="DA76" s="1389"/>
      <c r="DB76" s="1389"/>
      <c r="DD76" s="565"/>
      <c r="DE76" s="565" t="str">
        <f>IF(V76="","",V76)</f>
        <v>Добавить территорию для дифференциации</v>
      </c>
      <c r="DF76" s="565"/>
      <c r="DG76" s="565"/>
      <c r="DH76" s="576">
        <v>0</v>
      </c>
    </row>
    <row s="5305" customFormat="1" customHeight="1" ht="4.2">
      <c r="A77" s="1439"/>
      <c r="B77" s="1439"/>
      <c r="C77" s="1439"/>
      <c r="D77" s="1439"/>
      <c r="E77" s="1440"/>
      <c r="F77" s="1439"/>
      <c r="G77" s="1439"/>
      <c r="H77" s="1439"/>
      <c r="I77" s="1439"/>
      <c r="J77" s="1439"/>
      <c r="K77" s="1439"/>
      <c r="L77" s="1439"/>
      <c r="M77" s="1442"/>
      <c r="N77" s="1444"/>
      <c r="O77" s="1444"/>
      <c r="P77" s="416"/>
      <c r="Q77" s="1381"/>
      <c r="R77" s="1382"/>
      <c r="S77" s="1381"/>
      <c r="T77" s="1381"/>
      <c r="U77" s="1387"/>
      <c r="V77" s="1390" t="s">
        <v>173</v>
      </c>
      <c r="W77" s="1389"/>
      <c r="X77" s="1389"/>
      <c r="Y77" s="1389"/>
      <c r="Z77" s="1389"/>
      <c r="AA77" s="1389"/>
      <c r="AB77" s="1389"/>
      <c r="AC77" s="1389"/>
      <c r="AD77" s="1389"/>
      <c r="AE77" s="1389"/>
      <c r="AF77" s="1389"/>
      <c r="AG77" s="1389"/>
      <c r="AH77" s="1389"/>
      <c r="AI77" s="1389"/>
      <c r="AJ77" s="1389"/>
      <c r="AK77" s="1389"/>
      <c r="AL77" s="1389"/>
      <c r="AM77" s="1389"/>
      <c r="AN77" s="1389"/>
      <c r="AO77" s="1389"/>
      <c r="AP77" s="5555"/>
      <c r="AQ77" s="5555"/>
      <c r="AR77" s="5555"/>
      <c r="AS77" s="5555"/>
      <c r="AT77" s="5555"/>
      <c r="AU77" s="5555"/>
      <c r="AV77" s="5555"/>
      <c r="AW77" s="5555"/>
      <c r="AX77" s="5555"/>
      <c r="AY77" s="5555"/>
      <c r="AZ77" s="5555"/>
      <c r="BA77" s="5555"/>
      <c r="BB77" s="5555"/>
      <c r="BC77" s="5555"/>
      <c r="BD77" s="5555"/>
      <c r="BE77" s="5555"/>
      <c r="BF77" s="5555"/>
      <c r="BG77" s="5555"/>
      <c r="BH77" s="5555"/>
      <c r="BI77" s="5555"/>
      <c r="BJ77" s="5555"/>
      <c r="BK77" s="5555"/>
      <c r="BL77" s="5555"/>
      <c r="BM77" s="5555"/>
      <c r="BN77" s="5555"/>
      <c r="BO77" s="5555"/>
      <c r="BP77" s="5555"/>
      <c r="BQ77" s="5555"/>
      <c r="BR77" s="5555"/>
      <c r="BS77" s="5555"/>
      <c r="BT77" s="5555"/>
      <c r="BU77" s="5555"/>
      <c r="BV77" s="5555"/>
      <c r="BW77" s="5555"/>
      <c r="BX77" s="5555"/>
      <c r="BY77" s="5555"/>
      <c r="BZ77" s="5555"/>
      <c r="CA77" s="5555"/>
      <c r="CB77" s="5555"/>
      <c r="CC77" s="5555"/>
      <c r="CD77" s="5555"/>
      <c r="CE77" s="5555"/>
      <c r="CF77" s="5555"/>
      <c r="CG77" s="5555"/>
      <c r="CH77" s="5555"/>
      <c r="CI77" s="5555"/>
      <c r="CJ77" s="5555"/>
      <c r="CK77" s="5555"/>
      <c r="CL77" s="5555"/>
      <c r="CM77" s="5555"/>
      <c r="CN77" s="5555"/>
      <c r="CO77" s="5555"/>
      <c r="CP77" s="5555"/>
      <c r="CQ77" s="5555"/>
      <c r="CR77" s="5555"/>
      <c r="CS77" s="5555"/>
      <c r="CT77" s="5555"/>
      <c r="CU77" s="5555"/>
      <c r="CV77" s="5555"/>
      <c r="CW77" s="5555"/>
      <c r="CX77" s="5555"/>
      <c r="CY77" s="5555"/>
      <c r="CZ77" s="5555"/>
      <c r="DA77" s="1389"/>
      <c r="DB77" s="1389"/>
      <c r="DD77" s="854"/>
      <c r="DE77" s="854" t="str">
        <f>IF(V77="","",V77)</f>
        <v>Добавить наименование тарифа</v>
      </c>
      <c r="DF77" s="854"/>
      <c r="DG77" s="854"/>
      <c r="DH77" s="583">
        <v>4</v>
      </c>
    </row>
    <row customHeight="1" ht="11.549999999999999">
      <c r="N78" s="1220"/>
      <c r="O78" s="1220"/>
      <c r="P78" s="574"/>
      <c r="Q78" s="1220"/>
      <c r="R78" s="1220"/>
      <c r="S78" s="1220"/>
      <c r="T78" s="1220"/>
      <c r="U78" s="1220"/>
      <c r="AP78" s="5796"/>
      <c r="AQ78" s="5796"/>
      <c r="AR78" s="5796"/>
      <c r="AS78" s="5796"/>
      <c r="AT78" s="5796"/>
      <c r="AU78" s="5796"/>
      <c r="AV78" s="5796"/>
      <c r="AW78" s="5796"/>
      <c r="AX78" s="5796"/>
      <c r="AY78" s="5796"/>
      <c r="AZ78" s="5796"/>
      <c r="BA78" s="5796"/>
      <c r="BB78" s="5796"/>
      <c r="BC78" s="5796"/>
      <c r="BD78" s="5796"/>
      <c r="BE78" s="5796"/>
      <c r="BF78" s="5796"/>
      <c r="BG78" s="5796"/>
      <c r="BH78" s="5796"/>
      <c r="BI78" s="5796"/>
      <c r="BJ78" s="5796"/>
      <c r="BK78" s="5796"/>
      <c r="BL78" s="5796"/>
      <c r="BM78" s="5796"/>
      <c r="BN78" s="5796"/>
      <c r="BO78" s="5796"/>
      <c r="BP78" s="5796"/>
      <c r="BQ78" s="5796"/>
      <c r="BR78" s="5796"/>
      <c r="BS78" s="5796"/>
      <c r="BT78" s="5796"/>
      <c r="BU78" s="5796"/>
      <c r="BV78" s="5796"/>
      <c r="BW78" s="5796"/>
      <c r="BX78" s="5796"/>
      <c r="BY78" s="5796"/>
      <c r="BZ78" s="5796"/>
      <c r="CA78" s="5796"/>
      <c r="CB78" s="5796"/>
      <c r="CC78" s="5796"/>
      <c r="CD78" s="5796"/>
      <c r="CE78" s="5796"/>
      <c r="CF78" s="5796"/>
      <c r="CG78" s="5796"/>
      <c r="CH78" s="5796"/>
      <c r="CI78" s="5796"/>
      <c r="CJ78" s="5796"/>
      <c r="CK78" s="5796"/>
      <c r="CL78" s="5796"/>
      <c r="CM78" s="5796"/>
      <c r="CN78" s="5796"/>
      <c r="CO78" s="5796"/>
      <c r="CP78" s="5796"/>
      <c r="CQ78" s="5796"/>
      <c r="CR78" s="5796"/>
      <c r="CS78" s="5796"/>
      <c r="CT78" s="5796"/>
      <c r="CU78" s="5796"/>
      <c r="CV78" s="5796"/>
      <c r="CW78" s="5796"/>
      <c r="CX78" s="5796"/>
      <c r="CY78" s="5796"/>
      <c r="CZ78" s="6520"/>
      <c r="DC78" s="1220"/>
      <c r="DD78" s="1220"/>
      <c r="DE78" s="1220"/>
      <c r="DF78" s="1220"/>
      <c r="DG78" s="1220"/>
      <c r="DH78" s="1220">
        <v>11</v>
      </c>
    </row>
    <row customHeight="1" ht="35.699999999999996">
      <c r="P79" s="574"/>
      <c r="U79" s="1318"/>
      <c r="V79" s="2350"/>
      <c r="W79" s="2350"/>
      <c r="X79" s="2350"/>
      <c r="Y79" s="2350"/>
      <c r="Z79" s="2350"/>
      <c r="AA79" s="2350"/>
      <c r="AB79" s="2350"/>
      <c r="AC79" s="2350"/>
      <c r="AD79" s="2350"/>
      <c r="AE79" s="2350"/>
      <c r="AF79" s="2350"/>
      <c r="AG79" s="2350"/>
      <c r="AH79" s="2350"/>
      <c r="AI79" s="2350"/>
      <c r="AJ79" s="2350"/>
      <c r="AK79" s="2350"/>
      <c r="AL79" s="2350"/>
      <c r="AM79" s="2350"/>
      <c r="AN79" s="2350"/>
      <c r="AO79" s="2350"/>
      <c r="AP79" s="6478"/>
      <c r="AQ79" s="6478"/>
      <c r="AR79" s="6478"/>
      <c r="AS79" s="6478"/>
      <c r="AT79" s="6478"/>
      <c r="AU79" s="6478"/>
      <c r="AV79" s="6478"/>
      <c r="AW79" s="6478"/>
      <c r="AX79" s="6478"/>
      <c r="AY79" s="6478"/>
      <c r="AZ79" s="6478"/>
      <c r="BA79" s="6478"/>
      <c r="BB79" s="6478"/>
      <c r="BC79" s="6478"/>
      <c r="BD79" s="6478"/>
      <c r="BE79" s="6478"/>
      <c r="BF79" s="6478"/>
      <c r="BG79" s="6478"/>
      <c r="BH79" s="6478"/>
      <c r="BI79" s="6478"/>
      <c r="BJ79" s="6478"/>
      <c r="BK79" s="6478"/>
      <c r="BL79" s="6478"/>
      <c r="BM79" s="6478"/>
      <c r="BN79" s="6478"/>
      <c r="BO79" s="6478"/>
      <c r="BP79" s="6478"/>
      <c r="BQ79" s="6478"/>
      <c r="BR79" s="6478"/>
      <c r="BS79" s="6478"/>
      <c r="BT79" s="6478"/>
      <c r="BU79" s="6478"/>
      <c r="BV79" s="6478"/>
      <c r="BW79" s="6478"/>
      <c r="BX79" s="6478"/>
      <c r="BY79" s="6478"/>
      <c r="BZ79" s="6478"/>
      <c r="CA79" s="6478"/>
      <c r="CB79" s="6478"/>
      <c r="CC79" s="6478"/>
      <c r="CD79" s="6478"/>
      <c r="CE79" s="6478"/>
      <c r="CF79" s="6478"/>
      <c r="CG79" s="6478"/>
      <c r="CH79" s="6478"/>
      <c r="CI79" s="6478"/>
      <c r="CJ79" s="6478"/>
      <c r="CK79" s="6478"/>
      <c r="CL79" s="6478"/>
      <c r="CM79" s="6478"/>
      <c r="CN79" s="6478"/>
      <c r="CO79" s="6478"/>
      <c r="CP79" s="6478"/>
      <c r="CQ79" s="6478"/>
      <c r="CR79" s="6478"/>
      <c r="CS79" s="6478"/>
      <c r="CT79" s="6478"/>
      <c r="CU79" s="6478"/>
      <c r="CV79" s="6478"/>
      <c r="CW79" s="6478"/>
      <c r="CX79" s="6478"/>
      <c r="CY79" s="6478"/>
      <c r="CZ79" s="6549"/>
      <c r="DA79" s="2350"/>
      <c r="DB79" s="2350"/>
      <c r="DH79" s="1220">
        <v>34</v>
      </c>
    </row>
    <row customHeight="1" ht="21">
      <c r="P80" s="574"/>
      <c r="V80" s="2350"/>
      <c r="W80" s="2350"/>
      <c r="X80" s="2350"/>
      <c r="Y80" s="2350"/>
      <c r="Z80" s="2350"/>
      <c r="AA80" s="2350"/>
      <c r="AB80" s="2350"/>
      <c r="AC80" s="2350"/>
      <c r="AD80" s="2350"/>
      <c r="AE80" s="2350"/>
      <c r="AF80" s="2350"/>
      <c r="AG80" s="2350"/>
      <c r="AH80" s="2350"/>
      <c r="AI80" s="2350"/>
      <c r="AJ80" s="2350"/>
      <c r="AK80" s="2350"/>
      <c r="AL80" s="2350"/>
      <c r="AM80" s="2350"/>
      <c r="AN80" s="2350"/>
      <c r="AO80" s="2350"/>
      <c r="AP80" s="6478"/>
      <c r="AQ80" s="6478"/>
      <c r="AR80" s="6478"/>
      <c r="AS80" s="6478"/>
      <c r="AT80" s="6478"/>
      <c r="AU80" s="6478"/>
      <c r="AV80" s="6478"/>
      <c r="AW80" s="6478"/>
      <c r="AX80" s="6478"/>
      <c r="AY80" s="6478"/>
      <c r="AZ80" s="6478"/>
      <c r="BA80" s="6478"/>
      <c r="BB80" s="6478"/>
      <c r="BC80" s="6478"/>
      <c r="BD80" s="6478"/>
      <c r="BE80" s="6478"/>
      <c r="BF80" s="6478"/>
      <c r="BG80" s="6478"/>
      <c r="BH80" s="6478"/>
      <c r="BI80" s="6478"/>
      <c r="BJ80" s="6478"/>
      <c r="BK80" s="6478"/>
      <c r="BL80" s="6478"/>
      <c r="BM80" s="6478"/>
      <c r="BN80" s="6478"/>
      <c r="BO80" s="6478"/>
      <c r="BP80" s="6478"/>
      <c r="BQ80" s="6478"/>
      <c r="BR80" s="6478"/>
      <c r="BS80" s="6478"/>
      <c r="BT80" s="6478"/>
      <c r="BU80" s="6478"/>
      <c r="BV80" s="6478"/>
      <c r="BW80" s="6478"/>
      <c r="BX80" s="6478"/>
      <c r="BY80" s="6478"/>
      <c r="BZ80" s="6478"/>
      <c r="CA80" s="6478"/>
      <c r="CB80" s="6478"/>
      <c r="CC80" s="6478"/>
      <c r="CD80" s="6478"/>
      <c r="CE80" s="6478"/>
      <c r="CF80" s="6478"/>
      <c r="CG80" s="6478"/>
      <c r="CH80" s="6478"/>
      <c r="CI80" s="6478"/>
      <c r="CJ80" s="6478"/>
      <c r="CK80" s="6478"/>
      <c r="CL80" s="6478"/>
      <c r="CM80" s="6478"/>
      <c r="CN80" s="6478"/>
      <c r="CO80" s="6478"/>
      <c r="CP80" s="6478"/>
      <c r="CQ80" s="6478"/>
      <c r="CR80" s="6478"/>
      <c r="CS80" s="6478"/>
      <c r="CT80" s="6478"/>
      <c r="CU80" s="6478"/>
      <c r="CV80" s="6478"/>
      <c r="CW80" s="6478"/>
      <c r="CX80" s="6478"/>
      <c r="CY80" s="6478"/>
      <c r="CZ80" s="6549"/>
      <c r="DA80" s="2350"/>
      <c r="DB80" s="2350"/>
      <c r="DH80" s="1220">
        <v>20</v>
      </c>
    </row>
    <row customHeight="1" ht="14.699999999999998">
      <c r="P81" s="574"/>
      <c r="AP81" s="5796"/>
      <c r="AQ81" s="5796"/>
      <c r="AR81" s="5796"/>
      <c r="AS81" s="5796"/>
      <c r="AT81" s="5796"/>
      <c r="AU81" s="5796"/>
      <c r="AV81" s="5796"/>
      <c r="AW81" s="5796"/>
      <c r="AX81" s="5796"/>
      <c r="AY81" s="5796"/>
      <c r="AZ81" s="5796"/>
      <c r="BA81" s="5796"/>
      <c r="BB81" s="5796"/>
      <c r="BC81" s="5796"/>
      <c r="BD81" s="5796"/>
      <c r="BE81" s="5796"/>
      <c r="BF81" s="5796"/>
      <c r="BG81" s="5796"/>
      <c r="BH81" s="5796"/>
      <c r="BI81" s="5796"/>
      <c r="BJ81" s="5796"/>
      <c r="BK81" s="5796"/>
      <c r="BL81" s="5796"/>
      <c r="BM81" s="5796"/>
      <c r="BN81" s="5796"/>
      <c r="BO81" s="5796"/>
      <c r="BP81" s="5796"/>
      <c r="BQ81" s="5796"/>
      <c r="BR81" s="5796"/>
      <c r="BS81" s="5796"/>
      <c r="BT81" s="5796"/>
      <c r="BU81" s="5796"/>
      <c r="BV81" s="5796"/>
      <c r="BW81" s="5796"/>
      <c r="BX81" s="5796"/>
      <c r="BY81" s="5796"/>
      <c r="BZ81" s="5796"/>
      <c r="CA81" s="5796"/>
      <c r="CB81" s="5796"/>
      <c r="CC81" s="5796"/>
      <c r="CD81" s="5796"/>
      <c r="CE81" s="5796"/>
      <c r="CF81" s="5796"/>
      <c r="CG81" s="5796"/>
      <c r="CH81" s="5796"/>
      <c r="CI81" s="5796"/>
      <c r="CJ81" s="5796"/>
      <c r="CK81" s="5796"/>
      <c r="CL81" s="5796"/>
      <c r="CM81" s="5796"/>
      <c r="CN81" s="5796"/>
      <c r="CO81" s="5796"/>
      <c r="CP81" s="5796"/>
      <c r="CQ81" s="5796"/>
      <c r="CR81" s="5796"/>
      <c r="CS81" s="5796"/>
      <c r="CT81" s="5796"/>
      <c r="CU81" s="5796"/>
      <c r="CV81" s="5796"/>
      <c r="CW81" s="5796"/>
      <c r="CX81" s="5796"/>
      <c r="CY81" s="5796"/>
      <c r="CZ81" s="6520"/>
      <c r="DH81" s="1220">
        <v>14</v>
      </c>
    </row>
    <row customHeight="1" ht="28.5">
      <c r="P82" s="574"/>
      <c r="V82" s="2350"/>
      <c r="W82" s="2350"/>
      <c r="X82" s="2350"/>
      <c r="Y82" s="2350"/>
      <c r="Z82" s="2350"/>
      <c r="AA82" s="2350"/>
      <c r="AB82" s="2350"/>
      <c r="AC82" s="2350"/>
      <c r="AD82" s="2350"/>
      <c r="AE82" s="2350"/>
      <c r="AF82" s="2350"/>
      <c r="AG82" s="2350"/>
      <c r="AH82" s="2350"/>
      <c r="AI82" s="2350"/>
      <c r="AJ82" s="2350"/>
      <c r="AK82" s="2350"/>
      <c r="AL82" s="2350"/>
      <c r="AM82" s="2350"/>
      <c r="AN82" s="2350"/>
      <c r="AO82" s="2350"/>
      <c r="AP82" s="6478"/>
      <c r="AQ82" s="6478"/>
      <c r="AR82" s="6478"/>
      <c r="AS82" s="6478"/>
      <c r="AT82" s="6478"/>
      <c r="AU82" s="6478"/>
      <c r="AV82" s="6478"/>
      <c r="AW82" s="6478"/>
      <c r="AX82" s="6478"/>
      <c r="AY82" s="6478"/>
      <c r="AZ82" s="6478"/>
      <c r="BA82" s="6478"/>
      <c r="BB82" s="6478"/>
      <c r="BC82" s="6478"/>
      <c r="BD82" s="6478"/>
      <c r="BE82" s="6478"/>
      <c r="BF82" s="6478"/>
      <c r="BG82" s="6478"/>
      <c r="BH82" s="6478"/>
      <c r="BI82" s="6478"/>
      <c r="BJ82" s="6478"/>
      <c r="BK82" s="6478"/>
      <c r="BL82" s="6478"/>
      <c r="BM82" s="6478"/>
      <c r="BN82" s="6478"/>
      <c r="BO82" s="6478"/>
      <c r="BP82" s="6478"/>
      <c r="BQ82" s="6478"/>
      <c r="BR82" s="6478"/>
      <c r="BS82" s="6478"/>
      <c r="BT82" s="6478"/>
      <c r="BU82" s="6478"/>
      <c r="BV82" s="6478"/>
      <c r="BW82" s="6478"/>
      <c r="BX82" s="6478"/>
      <c r="BY82" s="6478"/>
      <c r="BZ82" s="6478"/>
      <c r="CA82" s="6478"/>
      <c r="CB82" s="6478"/>
      <c r="CC82" s="6478"/>
      <c r="CD82" s="6478"/>
      <c r="CE82" s="6478"/>
      <c r="CF82" s="6478"/>
      <c r="CG82" s="6478"/>
      <c r="CH82" s="6478"/>
      <c r="CI82" s="6478"/>
      <c r="CJ82" s="6478"/>
      <c r="CK82" s="6478"/>
      <c r="CL82" s="6478"/>
      <c r="CM82" s="6478"/>
      <c r="CN82" s="6478"/>
      <c r="CO82" s="6478"/>
      <c r="CP82" s="6478"/>
      <c r="CQ82" s="6478"/>
      <c r="CR82" s="6478"/>
      <c r="CS82" s="6478"/>
      <c r="CT82" s="6478"/>
      <c r="CU82" s="6478"/>
      <c r="CV82" s="6478"/>
      <c r="CW82" s="6478"/>
      <c r="CX82" s="6478"/>
      <c r="CY82" s="6478"/>
      <c r="CZ82" s="6549"/>
      <c r="DA82" s="2350"/>
      <c r="DB82" s="2350"/>
      <c r="DH82" s="1220">
        <v>27</v>
      </c>
    </row>
    <row customHeight="1" ht="18.75">
      <c r="P83" s="574"/>
      <c r="V83" s="2350"/>
      <c r="W83" s="2350"/>
      <c r="X83" s="2350"/>
      <c r="Y83" s="2350"/>
      <c r="Z83" s="2350"/>
      <c r="AA83" s="2350"/>
      <c r="AB83" s="2350"/>
      <c r="AC83" s="2350"/>
      <c r="AD83" s="2350"/>
      <c r="AE83" s="2350"/>
      <c r="AF83" s="2350"/>
      <c r="AG83" s="2350"/>
      <c r="AH83" s="2350"/>
      <c r="AI83" s="2350"/>
      <c r="AJ83" s="2350"/>
      <c r="AK83" s="2350"/>
      <c r="AL83" s="2350"/>
      <c r="AM83" s="2350"/>
      <c r="AN83" s="2350"/>
      <c r="AO83" s="2350"/>
      <c r="AP83" s="6478"/>
      <c r="AQ83" s="6478"/>
      <c r="AR83" s="6478"/>
      <c r="AS83" s="6478"/>
      <c r="AT83" s="6478"/>
      <c r="AU83" s="6478"/>
      <c r="AV83" s="6478"/>
      <c r="AW83" s="6478"/>
      <c r="AX83" s="6478"/>
      <c r="AY83" s="6478"/>
      <c r="AZ83" s="6478"/>
      <c r="BA83" s="6478"/>
      <c r="BB83" s="6478"/>
      <c r="BC83" s="6478"/>
      <c r="BD83" s="6478"/>
      <c r="BE83" s="6478"/>
      <c r="BF83" s="6478"/>
      <c r="BG83" s="6478"/>
      <c r="BH83" s="6478"/>
      <c r="BI83" s="6478"/>
      <c r="BJ83" s="6478"/>
      <c r="BK83" s="6478"/>
      <c r="BL83" s="6478"/>
      <c r="BM83" s="6478"/>
      <c r="BN83" s="6478"/>
      <c r="BO83" s="6478"/>
      <c r="BP83" s="6478"/>
      <c r="BQ83" s="6478"/>
      <c r="BR83" s="6478"/>
      <c r="BS83" s="6478"/>
      <c r="BT83" s="6478"/>
      <c r="BU83" s="6478"/>
      <c r="BV83" s="6478"/>
      <c r="BW83" s="6478"/>
      <c r="BX83" s="6478"/>
      <c r="BY83" s="6478"/>
      <c r="BZ83" s="6478"/>
      <c r="CA83" s="6478"/>
      <c r="CB83" s="6478"/>
      <c r="CC83" s="6478"/>
      <c r="CD83" s="6478"/>
      <c r="CE83" s="6478"/>
      <c r="CF83" s="6478"/>
      <c r="CG83" s="6478"/>
      <c r="CH83" s="6478"/>
      <c r="CI83" s="6478"/>
      <c r="CJ83" s="6478"/>
      <c r="CK83" s="6478"/>
      <c r="CL83" s="6478"/>
      <c r="CM83" s="6478"/>
      <c r="CN83" s="6478"/>
      <c r="CO83" s="6478"/>
      <c r="CP83" s="6478"/>
      <c r="CQ83" s="6478"/>
      <c r="CR83" s="6478"/>
      <c r="CS83" s="6478"/>
      <c r="CT83" s="6478"/>
      <c r="CU83" s="6478"/>
      <c r="CV83" s="6478"/>
      <c r="CW83" s="6478"/>
      <c r="CX83" s="6478"/>
      <c r="CY83" s="6478"/>
      <c r="CZ83" s="6549"/>
      <c r="DA83" s="2350"/>
      <c r="DB83" s="2350"/>
      <c r="DH83" s="1220">
        <v>18</v>
      </c>
    </row>
    <row customHeight="1" ht="22.5" hidden="1">
      <c r="A84" s="1220" t="s">
        <v>85</v>
      </c>
      <c r="B84" s="1220">
        <v>0</v>
      </c>
      <c r="C84" s="1220">
        <v>0</v>
      </c>
      <c r="D84" s="1220">
        <v>0</v>
      </c>
      <c r="E84" s="1220">
        <v>0</v>
      </c>
      <c r="F84" s="1220">
        <v>0</v>
      </c>
      <c r="G84" s="1220">
        <v>0</v>
      </c>
      <c r="H84" s="1220">
        <v>0</v>
      </c>
      <c r="I84" s="1220">
        <v>0</v>
      </c>
      <c r="J84" s="1220">
        <v>0</v>
      </c>
      <c r="K84" s="1220">
        <v>0</v>
      </c>
      <c r="L84" s="1220">
        <v>0</v>
      </c>
      <c r="M84" s="1392">
        <v>0</v>
      </c>
      <c r="N84" s="1393">
        <v>0</v>
      </c>
      <c r="O84" s="1393">
        <v>0</v>
      </c>
      <c r="P84" s="1393">
        <v>0</v>
      </c>
      <c r="Q84" s="1393">
        <v>0</v>
      </c>
      <c r="R84" s="409">
        <v>3</v>
      </c>
      <c r="S84" s="409">
        <v>3</v>
      </c>
      <c r="T84" s="409">
        <v>3</v>
      </c>
      <c r="U84" s="646">
        <v>12</v>
      </c>
      <c r="V84" s="1220">
        <v>31</v>
      </c>
      <c r="W84" s="1220">
        <v>0</v>
      </c>
      <c r="X84" s="1220">
        <v>0</v>
      </c>
      <c r="Y84" s="1220">
        <v>0</v>
      </c>
      <c r="Z84" s="1220">
        <v>0</v>
      </c>
      <c r="AA84" s="1220">
        <v>0</v>
      </c>
      <c r="AB84" s="1220">
        <v>0</v>
      </c>
      <c r="AC84" s="1220">
        <v>0</v>
      </c>
      <c r="AD84" s="1220">
        <v>0</v>
      </c>
      <c r="AE84" s="1220">
        <v>0</v>
      </c>
      <c r="AF84" s="1220">
        <v>0</v>
      </c>
      <c r="AG84" s="1220">
        <v>21</v>
      </c>
      <c r="AH84" s="1220">
        <v>21</v>
      </c>
      <c r="AI84" s="1220">
        <v>21</v>
      </c>
      <c r="AJ84" s="1220">
        <v>21</v>
      </c>
      <c r="AK84" s="1220">
        <v>21</v>
      </c>
      <c r="AL84" s="1220">
        <v>11</v>
      </c>
      <c r="AM84" s="1220">
        <v>3</v>
      </c>
      <c r="AN84" s="1220">
        <v>11</v>
      </c>
      <c r="AO84" s="1220">
        <v>8</v>
      </c>
      <c r="AP84" s="5796">
        <v>0</v>
      </c>
      <c r="AQ84" s="5796">
        <v>0</v>
      </c>
      <c r="AR84" s="5796">
        <v>0</v>
      </c>
      <c r="AS84" s="5796">
        <v>0</v>
      </c>
      <c r="AT84" s="5796">
        <v>0</v>
      </c>
      <c r="AU84" s="5796">
        <v>0</v>
      </c>
      <c r="AV84" s="5796">
        <v>0</v>
      </c>
      <c r="AW84" s="5796">
        <v>0</v>
      </c>
      <c r="AX84" s="5796">
        <v>0</v>
      </c>
      <c r="AY84" s="5796">
        <v>0</v>
      </c>
      <c r="AZ84" s="5796">
        <v>0</v>
      </c>
      <c r="BA84" s="5796">
        <v>0</v>
      </c>
      <c r="BB84" s="5796">
        <v>0</v>
      </c>
      <c r="BC84" s="5796">
        <v>0</v>
      </c>
      <c r="BD84" s="5796">
        <v>0</v>
      </c>
      <c r="BE84" s="5796">
        <v>0</v>
      </c>
      <c r="BF84" s="5796">
        <v>0</v>
      </c>
      <c r="BG84" s="5796">
        <v>0</v>
      </c>
      <c r="BH84" s="5796">
        <v>0</v>
      </c>
      <c r="BI84" s="5796">
        <v>0</v>
      </c>
      <c r="BJ84" s="5796">
        <v>0</v>
      </c>
      <c r="BK84" s="5796">
        <v>0</v>
      </c>
      <c r="BL84" s="5796">
        <v>0</v>
      </c>
      <c r="BM84" s="5796">
        <v>0</v>
      </c>
      <c r="BN84" s="5796">
        <v>0</v>
      </c>
      <c r="BO84" s="5796">
        <v>0</v>
      </c>
      <c r="BP84" s="5796">
        <v>0</v>
      </c>
      <c r="BQ84" s="5796">
        <v>0</v>
      </c>
      <c r="BR84" s="5796">
        <v>0</v>
      </c>
      <c r="BS84" s="5796">
        <v>0</v>
      </c>
      <c r="BT84" s="5796">
        <v>0</v>
      </c>
      <c r="BU84" s="5796">
        <v>0</v>
      </c>
      <c r="BV84" s="5796">
        <v>0</v>
      </c>
      <c r="BW84" s="5796">
        <v>0</v>
      </c>
      <c r="BX84" s="5796">
        <v>0</v>
      </c>
      <c r="BY84" s="5796">
        <v>0</v>
      </c>
      <c r="BZ84" s="5796">
        <v>0</v>
      </c>
      <c r="CA84" s="5796">
        <v>0</v>
      </c>
      <c r="CB84" s="5796">
        <v>0</v>
      </c>
      <c r="CC84" s="5796">
        <v>0</v>
      </c>
      <c r="CD84" s="5796">
        <v>0</v>
      </c>
      <c r="CE84" s="5796">
        <v>0</v>
      </c>
      <c r="CF84" s="5796">
        <v>0</v>
      </c>
      <c r="CG84" s="5796">
        <v>0</v>
      </c>
      <c r="CH84" s="5796">
        <v>0</v>
      </c>
      <c r="CI84" s="5796">
        <v>0</v>
      </c>
      <c r="CJ84" s="5796">
        <v>0</v>
      </c>
      <c r="CK84" s="5796">
        <v>0</v>
      </c>
      <c r="CL84" s="5796">
        <v>0</v>
      </c>
      <c r="CM84" s="5796">
        <v>0</v>
      </c>
      <c r="CN84" s="5796">
        <v>0</v>
      </c>
      <c r="CO84" s="5796">
        <v>0</v>
      </c>
      <c r="CP84" s="5796">
        <v>0</v>
      </c>
      <c r="CQ84" s="5796">
        <v>0</v>
      </c>
      <c r="CR84" s="5796">
        <v>0</v>
      </c>
      <c r="CS84" s="5796">
        <v>0</v>
      </c>
      <c r="CT84" s="5796">
        <v>0</v>
      </c>
      <c r="CU84" s="5796">
        <v>0</v>
      </c>
      <c r="CV84" s="5796">
        <v>0</v>
      </c>
      <c r="CW84" s="5796">
        <v>0</v>
      </c>
      <c r="CX84" s="5796">
        <v>0</v>
      </c>
      <c r="CY84" s="5796">
        <v>0</v>
      </c>
      <c r="CZ84" s="6520">
        <v>0</v>
      </c>
      <c r="DA84" s="1220">
        <v>4</v>
      </c>
      <c r="DB84" s="1220">
        <v>115</v>
      </c>
      <c r="DC84" s="576">
        <v>10</v>
      </c>
      <c r="DD84" s="576">
        <v>10</v>
      </c>
      <c r="DE84" s="576">
        <v>10</v>
      </c>
      <c r="DF84" s="576">
        <v>10</v>
      </c>
      <c r="DG84" s="576">
        <v>10</v>
      </c>
      <c r="DH84" s="1220">
        <v>23</v>
      </c>
    </row>
  </sheetData>
  <sheetProtection formatColumns="0" formatRows="0" autoFilter="0" sort="0" insertRows="0" insertColumns="1" deleteRows="0" deleteColumns="0"/>
  <mergeCells count="399">
    <mergeCell ref="V83:DB83"/>
    <mergeCell ref="U39:V39"/>
    <mergeCell ref="X39:AE39"/>
    <mergeCell ref="AG39:AN39"/>
    <mergeCell ref="U38:V38"/>
    <mergeCell ref="X38:AE38"/>
    <mergeCell ref="AG38:AN38"/>
    <mergeCell ref="AL55:AL58"/>
    <mergeCell ref="AM55:AM58"/>
    <mergeCell ref="AN55:AN58"/>
    <mergeCell ref="AO55:AO58"/>
    <mergeCell ref="V82:DB82"/>
    <mergeCell ref="DB42:DB47"/>
    <mergeCell ref="DB56:DB59"/>
    <mergeCell ref="V79:DB79"/>
    <mergeCell ref="V80:DB80"/>
    <mergeCell ref="Y44:AB44"/>
    <mergeCell ref="Y45:Y47"/>
    <mergeCell ref="Z45:AB45"/>
    <mergeCell ref="AA46:AB46"/>
    <mergeCell ref="Z46:Z47"/>
    <mergeCell ref="AC46:AC47"/>
    <mergeCell ref="AD46:AE47"/>
    <mergeCell ref="AC44:AE45"/>
    <mergeCell ref="AH44:AK44"/>
    <mergeCell ref="AL44:AN45"/>
    <mergeCell ref="AH45:AH47"/>
    <mergeCell ref="X53:AF53"/>
    <mergeCell ref="AG53:DA53"/>
    <mergeCell ref="AI45:AK45"/>
    <mergeCell ref="AI46:AI47"/>
    <mergeCell ref="AJ46:AK46"/>
    <mergeCell ref="AL46:AL47"/>
    <mergeCell ref="AM46:AN47"/>
    <mergeCell ref="DA43:DA47"/>
    <mergeCell ref="X44:X47"/>
    <mergeCell ref="AG44:AG47"/>
    <mergeCell ref="E49:E76"/>
    <mergeCell ref="X49:AF49"/>
    <mergeCell ref="AG49:DA49"/>
    <mergeCell ref="F50:F75"/>
    <mergeCell ref="X50:AF50"/>
    <mergeCell ref="AG50:DA50"/>
    <mergeCell ref="G51:G74"/>
    <mergeCell ref="X51:AF51"/>
    <mergeCell ref="AG51:DA51"/>
    <mergeCell ref="H52:H73"/>
    <mergeCell ref="X52:AF52"/>
    <mergeCell ref="AG52:DA52"/>
    <mergeCell ref="I53:I72"/>
    <mergeCell ref="Q53:Q72"/>
    <mergeCell ref="L56:L57"/>
    <mergeCell ref="U36:V36"/>
    <mergeCell ref="X36:AE36"/>
    <mergeCell ref="AG36:AN36"/>
    <mergeCell ref="X33:AE33"/>
    <mergeCell ref="AG33:AN33"/>
    <mergeCell ref="U34:V34"/>
    <mergeCell ref="X34:AE34"/>
    <mergeCell ref="AG34:AN34"/>
    <mergeCell ref="J54:J59"/>
    <mergeCell ref="R54:R59"/>
    <mergeCell ref="X54:AF54"/>
    <mergeCell ref="AG54:DA54"/>
    <mergeCell ref="K55:K58"/>
    <mergeCell ref="AD48:AE48"/>
    <mergeCell ref="AM48:AN48"/>
    <mergeCell ref="X41:AF41"/>
    <mergeCell ref="AG41:AO41"/>
    <mergeCell ref="U42:DA42"/>
    <mergeCell ref="U43:U47"/>
    <mergeCell ref="V43:V47"/>
    <mergeCell ref="X43:AE43"/>
    <mergeCell ref="AF43:AF47"/>
    <mergeCell ref="AG43:AN43"/>
    <mergeCell ref="AO43:AO47"/>
    <mergeCell ref="DB9:DB12"/>
    <mergeCell ref="J7:J12"/>
    <mergeCell ref="R7:R12"/>
    <mergeCell ref="X7:AF7"/>
    <mergeCell ref="AG7:DA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A2"/>
    <mergeCell ref="F3:F16"/>
    <mergeCell ref="X3:AF3"/>
    <mergeCell ref="AG3:DA3"/>
    <mergeCell ref="G4:G15"/>
    <mergeCell ref="X4:AF4"/>
    <mergeCell ref="AG4:DA4"/>
    <mergeCell ref="H5:H14"/>
    <mergeCell ref="X5:AF5"/>
    <mergeCell ref="AG5:DA5"/>
    <mergeCell ref="I6:I13"/>
    <mergeCell ref="Q6:Q13"/>
    <mergeCell ref="X6:AF6"/>
    <mergeCell ref="AG6:DA6"/>
    <mergeCell ref="DB62:DB65"/>
    <mergeCell ref="J60:J65"/>
    <mergeCell ref="R60:R65"/>
    <mergeCell ref="X60:AF60"/>
    <mergeCell ref="AG60:DA60"/>
    <mergeCell ref="S61:S64"/>
    <mergeCell ref="K61:K64"/>
    <mergeCell ref="L62:L63"/>
    <mergeCell ref="AL61:AL64"/>
    <mergeCell ref="AM61:AM64"/>
    <mergeCell ref="AN61:AN64"/>
    <mergeCell ref="AO61:AO64"/>
    <mergeCell ref="DB68:DB71"/>
    <mergeCell ref="J66:J71"/>
    <mergeCell ref="R66:R71"/>
    <mergeCell ref="X66:AF66"/>
    <mergeCell ref="AG66:DA66"/>
    <mergeCell ref="S67:S70"/>
    <mergeCell ref="K67:K70"/>
    <mergeCell ref="L68:L69"/>
    <mergeCell ref="AL67:AL70"/>
    <mergeCell ref="AM67:AM70"/>
    <mergeCell ref="AN67:AN70"/>
    <mergeCell ref="AO67:AO70"/>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 ref="AU67:AU70"/>
    <mergeCell ref="AV67:AV70"/>
    <mergeCell ref="AW67:AW70"/>
    <mergeCell ref="AX67:AX70"/>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1:BD64"/>
    <mergeCell ref="BE61:BE64"/>
    <mergeCell ref="BF61:BF64"/>
    <mergeCell ref="BG61:BG64"/>
    <mergeCell ref="BD67:BD70"/>
    <mergeCell ref="BE67:BE70"/>
    <mergeCell ref="BF67:BF70"/>
    <mergeCell ref="BG67:BG70"/>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1:BM64"/>
    <mergeCell ref="BN61:BN64"/>
    <mergeCell ref="BO61:BO64"/>
    <mergeCell ref="BP61:BP64"/>
    <mergeCell ref="BM67:BM70"/>
    <mergeCell ref="BN67:BN70"/>
    <mergeCell ref="BO67:BO70"/>
    <mergeCell ref="BP67:BP70"/>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1:BV64"/>
    <mergeCell ref="BW61:BW64"/>
    <mergeCell ref="BX61:BX64"/>
    <mergeCell ref="BY61:BY64"/>
    <mergeCell ref="BV67:BV70"/>
    <mergeCell ref="BW67:BW70"/>
    <mergeCell ref="BX67:BX70"/>
    <mergeCell ref="BY67:BY70"/>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1:CE64"/>
    <mergeCell ref="CF61:CF64"/>
    <mergeCell ref="CG61:CG64"/>
    <mergeCell ref="CH61:CH64"/>
    <mergeCell ref="CE67:CE70"/>
    <mergeCell ref="CF67:CF70"/>
    <mergeCell ref="CG67:CG70"/>
    <mergeCell ref="CH67:CH70"/>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N55:CN58"/>
    <mergeCell ref="CO55:CO58"/>
    <mergeCell ref="CP55:CP58"/>
    <mergeCell ref="CQ55:CQ58"/>
    <mergeCell ref="CW55:CW58"/>
    <mergeCell ref="CX55:CX58"/>
    <mergeCell ref="CY55:CY58"/>
    <mergeCell ref="CZ55:CZ58"/>
    <mergeCell ref="AC55:AC58"/>
    <mergeCell ref="AD55:AD58"/>
    <mergeCell ref="AE55:AE58"/>
    <mergeCell ref="AF55:AF58"/>
    <mergeCell ref="CN61:CN64"/>
    <mergeCell ref="CO61:CO64"/>
    <mergeCell ref="CP61:CP64"/>
    <mergeCell ref="CQ61:CQ64"/>
    <mergeCell ref="CW61:CW64"/>
    <mergeCell ref="CX61:CX64"/>
    <mergeCell ref="CY61:CY64"/>
    <mergeCell ref="CZ61:CZ64"/>
    <mergeCell ref="AC61:AC64"/>
    <mergeCell ref="AD61:AD64"/>
    <mergeCell ref="AE61:AE64"/>
    <mergeCell ref="AF61:AF64"/>
    <mergeCell ref="CN67:CN70"/>
    <mergeCell ref="CO67:CO70"/>
    <mergeCell ref="CP67:CP70"/>
    <mergeCell ref="CQ67:CQ70"/>
    <mergeCell ref="CW67:CW70"/>
    <mergeCell ref="CX67:CX70"/>
    <mergeCell ref="CY67:CY70"/>
    <mergeCell ref="CZ67:CZ70"/>
    <mergeCell ref="AC67:AC70"/>
    <mergeCell ref="AD67:AD70"/>
    <mergeCell ref="AE67:AE70"/>
    <mergeCell ref="AF67:AF70"/>
  </mergeCells>
  <dataValidations count="8">
    <dataValidation type="list" allowBlank="1" showInputMessage="1" showErrorMessage="1" errorTitle="Ошибка" error="Выберите значение из списка" sqref="V65604 V131140 V196676 V262212 V327748 V393284 V458820 V524356 V589892 V655428 V720964 V786500 V852036 V917572 V983108">
      <formula1>kind_of_heat_transfer</formula1>
    </dataValidation>
    <dataValidation type="list" allowBlank="1" showInputMessage="1" showErrorMessage="1" errorTitle="Ошибка" error="Выберите значение из списка" sqref="X983106:Z983106 X65602:Z65602 X131138:Z131138 X196674:Z196674 X262210:Z262210 X327746:Z327746 X393282:Z393282 X458818:Z458818 X524354:Z524354 X589890:Z589890 X655426:Z655426 X720962:Z720962 X786498:Z786498 X852034:Z852034 X917570:Z917570 AG983106:AI983106 AG65602:AI65602 AG131138:AI131138 AG196674:AI196674 AG262210:AI262210 AG327746:AI327746 AG393282:AI393282 AG458818:AI458818 AG524354:AI524354 AG589890:AI589890 AG655426:AI655426 AG720962:AI720962 AG786498:AI786498 AG852034:AI852034 AG917570:AI917570">
      <formula1>kind_of_scheme_in</formula1>
    </dataValidation>
    <dataValidation type="list" allowBlank="1" showInputMessage="1" errorTitle="Ошибка" error="Выберите значение из списка" prompt="Выберите значение из списка" sqref="X983107:DA983107 X65603:DA65603 X131139:DA131139 X196675:DA196675 X262211:DA262211 X327747:DA327747 X393283:DA393283 X458819:DA458819 X524355:DA524355 X589891:DA589891 X655427:DA655427 X720963:DA720963 X786499:DA786499 X852035:DA852035 X917571:DA917571">
      <formula1>kind_of_cons</formula1>
    </dataValidation>
    <dataValidation allowBlank="1" sqref="U131142:DB131148 U196678:DB196684 U262214:DB262220 U327750:DB327756 U393286:DB393292 U458822:DB458828 U524358:DB524364 U589894:DB589900 U655430:DB655436 U720966:DB720972 U786502:DB786508 U852038:DB852044 U917574:DB917580 U983110:DB983116 U65606:DB65612"/>
    <dataValidation type="textLength" operator="lessThanOrEqual" allowBlank="1" showInputMessage="1" showErrorMessage="1" errorTitle="Ошибка" error="Допускается ввод не более 900 символов!" sqref="DB65598:DB65605 DB131134:DB131141 DB196670:DB196677 DB262206:DB262213 DB327742:DB327749 DB393278:DB393285 DB458814:DB458821 DB524350:DB524357 DB589886:DB589893 DB655422:DB655429 DB720958:DB720965 DB786494:DB786501 DB852030:DB852037 DB917566:DB917573 DB983102:DB98310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4 AC131140 AC196676 AC262212 AC327748 AC393284 AC458820 AC524356 AC589892 AC655428 AC720964 AC786500 AC852036 AC917572 AC983108 AE65604 AE131140 AE196676 AE262212 AE327748 AE393284 AE458820 AE524356 AE589892 AE655428 AE720964 AE786500 AE852036 AE917572 AE983108 AN55 AL65604 AL131140 AL196676 AL262212 AL327748 AL393284 AL458820 AL524356 AL589892 AL655428 AL720964 AL786500 AL852036 AL917572 AL983108 AN65604 AN131140 AN196676 AN262212 AN327748 AN393284 AN458820 AN524356 AN589892 AN655428 AN720964 AN786500 AN852036 AN917572 AN983108 AC55 AE55 AL55 AE8 AC8 AL19:AL21 AN19:AN21 AN8 AL8 AC61 AE61 AL61 AN61 AC67 AE67 AL67 AN67 AU8 AW8 AU55 AW55 AU61 AW61 AU67 AW67 BD8 BF8 BD55 BF55 BD61 BF61 BD67 BF67 BM8 BO8 BM55 BO55 BM61 BO61 BM67 BO67 BV8 BX8 BV55 BX55 BV61 BX61 BV67 BX67 CE8 CG8 CE55 CG55 CE61 CG61 CE67 CG67 CN8 CP8 CN55 CP55 CN61 CP61 CN67 CP67 CW8 CY8 CW55 CY55 CW61 CY61 CW67 CY67 CN56 CP56 CN57 CP57 CW56 CY56 CW57 CY57 AC56 AE56 AC57 AE57 CN62 CP62 CN63 CP63 CW62 CY62 CW63 CY63 AC62 AE62 AC63 AE63 CN68 CP68 CN69 CP69 CW68 CY68 CW69 CY69 AC68 AE68 AC69 AE69"/>
    <dataValidation allowBlank="1" promptTitle="checkPeriodRange" sqref="AB65605 AB131141 AB196677 AB262213 AB327749 AB393285 AB458821 AB524357 AB589893 AB655429 AB720965 AB786501 AB852037 AB917573 AB983109 AB10:AB11 AK65605 AK131141 AK196677 AK262213 AK327749 AK393285 AK458821 AK524357 AK589893 AK655429 AK720965 AK786501 AK852037 AK917573 AK983109 AK10:AK11 AK57 AK22 AK63 AB64 AK64 AK69 AB70 AK70 AT10 AT11 AT57 AT63 AT64 AT69 AT70 BC10 BC11 BC57 BC63 BC64 BC69 BC70 BL10 BL11 BL57 BL63 BL64 BL69 BL70 BU10 BU11 BU57 BU63 BU64 BU69 BU70 CD10 CD11 CD57 CD63 CD64 CD69 CD70 CM10 CM11 CM64 CM70 CV10 CV11 CV64 CV70 CM58 CV58 AB58"/>
    <dataValidation allowBlank="1" showInputMessage="1" showErrorMessage="1" prompt="Для выбора выполните двойной щелчок левой клавиши мыши по соответствующей ячейке." sqref="AD65604 AD131140 AD196676 AD262212 AD327748 AD393284 AD458820 AD524356 AD589892 AD655428 AD720964 AD786500 AD852036 AD917572 AD983108 AF131140 AF458820 AF196676 AF262212 AF327748 AF393284 AF524356 AF589892 AF655428 AF720964 AF786500 AF852036 AF917572 AF983108 AF65604 AM65604 AM131140 AM196676 AM262212 AM327748 AM393284 AM458820 AM524356 AM589892 AM655428 AM720964 AM786500 AM852036 AM917572 AM983108 AO393284:CZ393284 AO327748:CZ327748 AO524356:CZ524356 AO55 AV55 AX55 BE55 BG55 BN55 BP55 BW55 BY55 CF55 CH55 CO55 CQ55 CX55 CZ55 AO589892:CZ589892 AO655428:CZ655428 AO19:AO21 AO720964:CZ720964 AO786500:CZ786500 AO852036:CZ852036 AO917572:CZ917572 AO983108:CZ983108 AO65604:CZ65604 AO131140:CZ131140 AO458820:CZ458820 AF55 AO196676:CZ196676 AF8 AD8 AM55 AM19:AM21 AO262212:CZ262212 AD55 AO8 AV8 AX8 BE8 BG8 BN8 BP8 BW8 BY8 CF8 CH8 CO8 CQ8 CX8 CZ8 AM8 AD61 AF61 AM61 AO61 AV61 AX61 BE61 BG61 BN61 BP61 BW61 BY61 CF61 CH61 CO61 CQ61 CX61 CZ61 AD67 AF67 AM67 AO67 AV67 AX67 BE67 BG67 BN67 BP67 BW67 BY67 CF67 CH67 CO67 CQ67 CX67 CZ67 CO56 CQ56 CO57 CQ57 CX56 CZ56 CX57 CZ57 AD56 AF56 AD57 AF57 CO62 CQ62 CO63 CQ63 CX62 CZ62 CX63 CZ63 AD62 AF62 AD63 AF63 CO68 CQ68 CO69 CQ69 CX68 CZ68 CX69 CZ69 AD68 AF68 AD69 AF6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667D16-09E4-7455-654B-0.0495D1F9}" mc:Ignorable="x14ac xr xr2 xr3">
  <sheetPr>
    <tabColor rgb="FFCCCCFF"/>
  </sheetPr>
  <dimension ref="A1:Q79"/>
  <sheetViews>
    <sheetView topLeftCell="C1" showGridLines="0" zoomScale="90" workbookViewId="0" tabSelected="1">
      <selection activeCell="L45" sqref="L45"/>
    </sheetView>
  </sheetViews>
  <sheetFormatPr defaultColWidth="9.140625" customHeight="1" defaultRowHeight="11.25"/>
  <cols>
    <col min="1" max="1" style="2844" width="10.7109375" hidden="1" customWidth="1"/>
    <col min="2" max="2" style="2858" width="10.7109375" hidden="1" customWidth="1"/>
    <col min="3" max="3" style="2857" width="3.00390625" customWidth="1"/>
    <col min="4" max="4" style="5796" width="1.00390625" customWidth="1"/>
    <col min="5" max="6" style="5796" width="55.00390625" customWidth="1"/>
    <col min="7" max="7" style="6460" width="1.00390625" customWidth="1"/>
    <col min="8" max="8" style="5796" width="18.00390625" hidden="1" customWidth="1"/>
    <col min="9" max="9" style="2833" width="59.00390625" customWidth="1"/>
    <col min="10" max="10" style="5745" width="52.140625" hidden="1" customWidth="1"/>
    <col min="11" max="11" style="5796" width="8.00390625" customWidth="1"/>
    <col min="12" max="12" style="5796" width="77.00390625" customWidth="1"/>
    <col min="13" max="16" style="5796" width="8.00390625" customWidth="1"/>
    <col min="17" max="17" style="5796" width="12.00390625" hidden="1" customWidth="1"/>
  </cols>
  <sheetData>
    <row s="5213" customFormat="1" customHeight="1" ht="3">
      <c r="A1" s="848"/>
      <c r="B1" s="306"/>
      <c r="F1" s="307" t="s">
        <v>13</v>
      </c>
      <c r="G1" s="476"/>
      <c r="H1" s="136"/>
      <c r="I1" s="476"/>
      <c r="J1" s="936"/>
      <c r="Q1" s="307" t="s">
        <v>14</v>
      </c>
    </row>
    <row s="6040" customFormat="1" customHeight="1" ht="14.25">
      <c r="A2" s="848"/>
      <c r="B2" s="163"/>
      <c r="E2" s="1805" t="str">
        <f>code</f>
        <v>Код отчёта: PP110.OPEN.INFO.PRICE.HEAT.EIAS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51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теплоснабжения (цены и тарифы)</v>
      </c>
      <c r="F5" s="2161"/>
      <c r="G5" s="837"/>
      <c r="J5" s="940"/>
      <c r="Q5" s="139">
        <v>38</v>
      </c>
    </row>
    <row s="351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515" customFormat="1" customHeight="1" ht="6.3">
      <c r="A8" s="850"/>
      <c r="B8" s="297"/>
      <c r="C8" s="298"/>
      <c r="D8" s="304"/>
      <c r="E8" s="302"/>
      <c r="F8" s="305"/>
      <c r="G8" s="142"/>
      <c r="H8" s="474"/>
      <c r="I8" s="476"/>
      <c r="J8" s="942"/>
      <c r="Q8" s="301">
        <v>6</v>
      </c>
    </row>
    <row s="5796"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51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804">
        <v>45292.55252314815</v>
      </c>
      <c r="G11" s="142"/>
      <c r="H11" s="838" t="s">
        <v>22</v>
      </c>
      <c r="J11" s="941" t="s">
        <v>23</v>
      </c>
      <c r="Q11" s="139">
        <v>0</v>
      </c>
    </row>
    <row customHeight="1" ht="22.5">
      <c r="A12" s="2163"/>
      <c r="D12" s="140"/>
      <c r="E12" s="1230" t="s">
        <v>24</v>
      </c>
      <c r="F12" s="2795">
        <v>47118.552615740744</v>
      </c>
      <c r="G12" s="138"/>
      <c r="J12" s="941" t="s">
        <v>25</v>
      </c>
      <c r="Q12" s="139">
        <v>0</v>
      </c>
    </row>
    <row s="5796" customFormat="1" customHeight="1" ht="22.5" hidden="1">
      <c r="A13" s="853" t="s">
        <v>26</v>
      </c>
      <c r="B13" s="163"/>
      <c r="C13" s="473"/>
      <c r="D13" s="475"/>
      <c r="E13" s="1840" t="s">
        <v>27</v>
      </c>
      <c r="F13" s="1797" t="s">
        <v>28</v>
      </c>
      <c r="G13" s="142"/>
      <c r="H13" s="835"/>
      <c r="I13" s="476"/>
      <c r="J13" s="1841" t="s">
        <v>29</v>
      </c>
      <c r="Q13" s="474">
        <v>0</v>
      </c>
    </row>
    <row s="5796" customFormat="1" customHeight="1" ht="27" hidden="1">
      <c r="A14" s="853" t="s">
        <v>30</v>
      </c>
      <c r="B14" s="163"/>
      <c r="C14" s="473"/>
      <c r="D14" s="475"/>
      <c r="E14" s="1230" t="s">
        <v>31</v>
      </c>
      <c r="F14" s="1832"/>
      <c r="G14" s="142"/>
      <c r="H14" s="835"/>
      <c r="I14" s="476"/>
      <c r="J14" s="941" t="s">
        <v>32</v>
      </c>
      <c r="Q14" s="474">
        <v>0</v>
      </c>
    </row>
    <row s="5796" customFormat="1" customHeight="1" ht="19.5" hidden="1">
      <c r="A15" s="853" t="s">
        <v>33</v>
      </c>
      <c r="B15" s="163"/>
      <c r="C15" s="473"/>
      <c r="D15" s="475"/>
      <c r="E15" s="1230" t="s">
        <v>34</v>
      </c>
      <c r="F15" s="1832"/>
      <c r="G15" s="142"/>
      <c r="H15" s="835"/>
      <c r="I15" s="476"/>
      <c r="J15" s="941" t="s">
        <v>35</v>
      </c>
      <c r="Q15" s="474">
        <v>0</v>
      </c>
    </row>
    <row s="3515" customFormat="1" customHeight="1" ht="6.3">
      <c r="A16" s="850"/>
      <c r="B16" s="297"/>
      <c r="C16" s="298"/>
      <c r="D16" s="304"/>
      <c r="E16" s="302"/>
      <c r="F16" s="305"/>
      <c r="G16" s="142"/>
      <c r="H16" s="474"/>
      <c r="I16" s="476"/>
      <c r="J16" s="939"/>
      <c r="Q16" s="301">
        <v>6</v>
      </c>
    </row>
    <row customHeight="1" ht="21">
      <c r="D17" s="140"/>
      <c r="E17" s="456" t="s">
        <v>36</v>
      </c>
      <c r="F17" s="6300" t="s">
        <v>37</v>
      </c>
      <c r="G17" s="138"/>
      <c r="H17" s="838" t="s">
        <v>22</v>
      </c>
      <c r="Q17" s="139">
        <v>20</v>
      </c>
    </row>
    <row customHeight="1" ht="25.5">
      <c r="D18" s="140"/>
      <c r="E18" s="1840" t="s">
        <v>38</v>
      </c>
      <c r="F18" s="2804">
        <v>45643.552777777775</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04">
        <v>45658.552928240744</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804">
        <v>45278.55384259259</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2"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2804">
        <v>46008.55446759259</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2813" t="s">
        <v>47</v>
      </c>
      <c r="G27" s="138"/>
      <c r="Q27" s="139">
        <v>0</v>
      </c>
    </row>
    <row customHeight="1" ht="24.75">
      <c r="D28" s="140"/>
      <c r="E28" s="456" t="s">
        <v>48</v>
      </c>
      <c r="F28" s="2813" t="s">
        <v>43</v>
      </c>
      <c r="G28" s="138"/>
      <c r="Q28" s="139">
        <v>0</v>
      </c>
    </row>
    <row customHeight="1" ht="19.5">
      <c r="D29" s="140"/>
      <c r="E29" s="456" t="s">
        <v>44</v>
      </c>
      <c r="F29" s="2814" t="s">
        <v>45</v>
      </c>
      <c r="G29" s="138"/>
      <c r="Q29" s="139">
        <v>0</v>
      </c>
    </row>
    <row s="351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49</v>
      </c>
      <c r="G31" s="841"/>
      <c r="Q31" s="139">
        <v>20</v>
      </c>
    </row>
    <row customHeight="1" ht="21" hidden="1">
      <c r="C32" s="143"/>
      <c r="D32" s="144"/>
      <c r="E32" s="457" t="s">
        <v>50</v>
      </c>
      <c r="F32" s="282"/>
      <c r="G32" s="841"/>
      <c r="Q32" s="139">
        <v>20</v>
      </c>
    </row>
    <row customHeight="1" ht="21">
      <c r="C33" s="143"/>
      <c r="D33" s="144"/>
      <c r="E33" s="456" t="s">
        <v>51</v>
      </c>
      <c r="F33" s="282" t="s">
        <v>52</v>
      </c>
      <c r="G33" s="841"/>
      <c r="Q33" s="139">
        <v>20</v>
      </c>
    </row>
    <row customHeight="1" ht="21">
      <c r="C34" s="143"/>
      <c r="D34" s="144"/>
      <c r="E34" s="456" t="s">
        <v>53</v>
      </c>
      <c r="F34" s="282" t="s">
        <v>54</v>
      </c>
      <c r="G34" s="841"/>
      <c r="H34" s="145"/>
      <c r="Q34" s="139">
        <v>20</v>
      </c>
    </row>
    <row s="3515" customFormat="1" customHeight="1" ht="11.549999999999999">
      <c r="A35" s="850"/>
      <c r="B35" s="297"/>
      <c r="C35" s="298"/>
      <c r="D35" s="304"/>
      <c r="E35" s="302"/>
      <c r="F35" s="305"/>
      <c r="G35" s="142"/>
      <c r="H35" s="474"/>
      <c r="I35" s="476"/>
      <c r="J35" s="939"/>
      <c r="Q35" s="301">
        <v>11</v>
      </c>
    </row>
    <row customHeight="1" ht="19.5">
      <c r="A36" s="944"/>
      <c r="D36" s="144"/>
      <c r="E36" s="456" t="s">
        <v>55</v>
      </c>
      <c r="F36" s="2822" t="s">
        <v>56</v>
      </c>
      <c r="G36" s="142"/>
      <c r="Q36" s="139">
        <v>0</v>
      </c>
    </row>
    <row customHeight="1" ht="21">
      <c r="A37" s="944"/>
      <c r="D37" s="144"/>
      <c r="E37" s="456" t="s">
        <v>57</v>
      </c>
      <c r="F37" s="2822" t="s">
        <v>58</v>
      </c>
      <c r="G37" s="142"/>
      <c r="Q37" s="139">
        <v>20</v>
      </c>
    </row>
    <row s="351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515" customFormat="1" customHeight="1" ht="6" hidden="1">
      <c r="A40" s="849"/>
      <c r="B40" s="491"/>
      <c r="C40" s="492"/>
      <c r="D40" s="493"/>
      <c r="E40" s="494"/>
      <c r="F40" s="1118"/>
      <c r="G40" s="138"/>
      <c r="H40" s="474"/>
      <c r="I40" s="476"/>
      <c r="J40" s="941"/>
      <c r="Q40" s="495">
        <v>6</v>
      </c>
    </row>
    <row s="5796"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515" customFormat="1" customHeight="1" ht="6">
      <c r="A42" s="849"/>
      <c r="B42" s="491"/>
      <c r="C42" s="492"/>
      <c r="D42" s="493"/>
      <c r="E42" s="494"/>
      <c r="F42" s="1118"/>
      <c r="G42" s="138"/>
      <c r="H42" s="474"/>
      <c r="I42" s="476"/>
      <c r="J42" s="939"/>
      <c r="Q42" s="495">
        <v>0</v>
      </c>
    </row>
    <row s="5796" customFormat="1" customHeight="1" ht="27" hidden="1">
      <c r="A43" s="849"/>
      <c r="B43" s="478"/>
      <c r="C43" s="473"/>
      <c r="D43" s="475"/>
      <c r="E43" s="456" t="s">
        <v>60</v>
      </c>
      <c r="F43" s="775" t="s">
        <v>19</v>
      </c>
      <c r="G43" s="138"/>
      <c r="I43" s="476"/>
      <c r="J43" s="941"/>
      <c r="Q43" s="474">
        <v>0</v>
      </c>
    </row>
    <row s="5796" customFormat="1" customHeight="1" ht="27" hidden="1">
      <c r="A44" s="849"/>
      <c r="B44" s="478"/>
      <c r="C44" s="473"/>
      <c r="D44" s="475"/>
      <c r="E44" s="1230" t="s">
        <v>61</v>
      </c>
      <c r="F44" s="1953"/>
      <c r="G44" s="138"/>
      <c r="I44" s="476"/>
      <c r="J44" s="941"/>
      <c r="Q44" s="474">
        <v>0</v>
      </c>
    </row>
    <row s="3515" customFormat="1" customHeight="1" ht="6">
      <c r="A45" s="849"/>
      <c r="B45" s="491"/>
      <c r="C45" s="492"/>
      <c r="D45" s="493"/>
      <c r="E45" s="494"/>
      <c r="F45" s="1118"/>
      <c r="G45" s="138"/>
      <c r="H45" s="474"/>
      <c r="I45" s="476"/>
      <c r="J45" s="941"/>
      <c r="Q45" s="495">
        <v>0</v>
      </c>
    </row>
    <row s="3515" customFormat="1" customHeight="1" ht="24.75">
      <c r="A46" s="849"/>
      <c r="B46" s="491"/>
      <c r="C46" s="492"/>
      <c r="D46" s="493"/>
      <c r="E46" s="1230" t="s">
        <v>62</v>
      </c>
      <c r="F46" s="775" t="s">
        <v>19</v>
      </c>
      <c r="G46" s="138"/>
      <c r="H46" s="474"/>
      <c r="I46" s="476"/>
      <c r="J46" s="941"/>
      <c r="Q46" s="495">
        <v>0</v>
      </c>
    </row>
    <row s="5796" customFormat="1" customHeight="1" ht="24.75">
      <c r="A47" s="849"/>
      <c r="B47" s="478"/>
      <c r="C47" s="473"/>
      <c r="D47" s="475"/>
      <c r="E47" s="1230" t="s">
        <v>63</v>
      </c>
      <c r="F47" s="775" t="s">
        <v>19</v>
      </c>
      <c r="G47" s="138"/>
      <c r="I47" s="476"/>
      <c r="J47" s="941"/>
      <c r="Q47" s="474">
        <v>0</v>
      </c>
    </row>
    <row s="351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t="s">
        <v>64</v>
      </c>
      <c r="G49" s="138"/>
      <c r="Q49" s="139">
        <v>0</v>
      </c>
    </row>
    <row s="3515" customFormat="1" customHeight="1" ht="6" hidden="1">
      <c r="A50" s="850"/>
      <c r="B50" s="491"/>
      <c r="C50" s="492"/>
      <c r="D50" s="304"/>
      <c r="E50" s="302"/>
      <c r="F50" s="305"/>
      <c r="G50" s="142"/>
      <c r="H50" s="474"/>
      <c r="I50" s="476"/>
      <c r="J50" s="941"/>
      <c r="Q50" s="495">
        <v>0</v>
      </c>
    </row>
    <row s="5796" customFormat="1" customHeight="1" ht="28.5" hidden="1">
      <c r="A51" s="851"/>
      <c r="B51" s="478"/>
      <c r="C51" s="595"/>
      <c r="D51" s="596"/>
      <c r="E51" s="456" t="s">
        <v>65</v>
      </c>
      <c r="F51" s="775" t="s">
        <v>19</v>
      </c>
      <c r="G51" s="597"/>
      <c r="I51" s="599"/>
      <c r="J51" s="943"/>
      <c r="P51" s="600"/>
      <c r="Q51" s="598">
        <v>0</v>
      </c>
    </row>
    <row s="3515" customFormat="1" customHeight="1" ht="6" hidden="1">
      <c r="A52" s="850"/>
      <c r="B52" s="491"/>
      <c r="C52" s="492"/>
      <c r="D52" s="304"/>
      <c r="E52" s="302"/>
      <c r="F52" s="305"/>
      <c r="G52" s="142"/>
      <c r="H52" s="474"/>
      <c r="I52" s="476"/>
      <c r="J52" s="939"/>
      <c r="Q52" s="495">
        <v>0</v>
      </c>
    </row>
    <row s="5796" customFormat="1" customHeight="1" ht="27" hidden="1">
      <c r="A53" s="851"/>
      <c r="B53" s="478"/>
      <c r="C53" s="595"/>
      <c r="D53" s="596"/>
      <c r="E53" s="456" t="s">
        <v>66</v>
      </c>
      <c r="F53" s="1113" t="s">
        <v>19</v>
      </c>
      <c r="G53" s="597"/>
      <c r="I53" s="599"/>
      <c r="J53" s="943"/>
      <c r="P53" s="600"/>
      <c r="Q53" s="598">
        <v>0</v>
      </c>
    </row>
    <row s="5796" customFormat="1" customHeight="1" ht="27" hidden="1">
      <c r="A54" s="851"/>
      <c r="B54" s="478"/>
      <c r="C54" s="595"/>
      <c r="D54" s="596"/>
      <c r="E54" s="456" t="s">
        <v>67</v>
      </c>
      <c r="F54" s="1839"/>
      <c r="G54" s="597"/>
      <c r="I54" s="599"/>
      <c r="J54" s="943"/>
      <c r="P54" s="600"/>
      <c r="Q54" s="598">
        <v>0</v>
      </c>
    </row>
    <row s="3515" customFormat="1" customHeight="1" ht="6" hidden="1">
      <c r="A55" s="850"/>
      <c r="B55" s="491"/>
      <c r="C55" s="492"/>
      <c r="D55" s="304"/>
      <c r="E55" s="302"/>
      <c r="F55" s="305"/>
      <c r="G55" s="142"/>
      <c r="H55" s="474"/>
      <c r="I55" s="476"/>
      <c r="J55" s="939"/>
      <c r="Q55" s="495">
        <v>0</v>
      </c>
    </row>
    <row s="5796" customFormat="1" customHeight="1" ht="25.5" hidden="1">
      <c r="A56" s="851"/>
      <c r="B56" s="478"/>
      <c r="C56" s="595"/>
      <c r="D56" s="596"/>
      <c r="E56" s="456" t="s">
        <v>68</v>
      </c>
      <c r="F56" s="1113" t="s">
        <v>19</v>
      </c>
      <c r="G56" s="597"/>
      <c r="I56" s="599"/>
      <c r="J56" s="943"/>
      <c r="P56" s="600"/>
      <c r="Q56" s="598">
        <v>0</v>
      </c>
    </row>
    <row s="3515" customFormat="1" customHeight="1" ht="6" hidden="1">
      <c r="A57" s="850"/>
      <c r="B57" s="491"/>
      <c r="C57" s="492"/>
      <c r="D57" s="304"/>
      <c r="E57" s="302"/>
      <c r="F57" s="305"/>
      <c r="G57" s="142"/>
      <c r="H57" s="474"/>
      <c r="I57" s="476"/>
      <c r="J57" s="939"/>
      <c r="Q57" s="495">
        <v>0</v>
      </c>
    </row>
    <row s="5796" customFormat="1" customHeight="1" ht="15" hidden="1">
      <c r="A58" s="851"/>
      <c r="B58" s="478"/>
      <c r="C58" s="595"/>
      <c r="D58" s="596"/>
      <c r="E58" s="456" t="s">
        <v>69</v>
      </c>
      <c r="F58" s="1113" t="s">
        <v>64</v>
      </c>
      <c r="G58" s="597"/>
      <c r="I58" s="599"/>
      <c r="J58" s="943"/>
      <c r="P58" s="600"/>
      <c r="Q58" s="598">
        <v>0</v>
      </c>
    </row>
    <row s="5796"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5796" customFormat="1" customHeight="1" ht="15" hidden="1">
      <c r="A60" s="851"/>
      <c r="B60" s="478"/>
      <c r="C60" s="595"/>
      <c r="D60" s="596"/>
      <c r="E60" s="1230" t="s">
        <v>70</v>
      </c>
      <c r="F60" s="1216"/>
      <c r="G60" s="597"/>
      <c r="I60" s="599"/>
      <c r="J60" s="943"/>
      <c r="P60" s="600"/>
      <c r="Q60" s="598">
        <v>0</v>
      </c>
    </row>
    <row s="3515" customFormat="1" customHeight="1" ht="6" hidden="1">
      <c r="A61" s="850"/>
      <c r="B61" s="491"/>
      <c r="C61" s="492"/>
      <c r="D61" s="493"/>
      <c r="E61" s="494"/>
      <c r="F61" s="1118"/>
      <c r="G61" s="138"/>
      <c r="H61" s="474"/>
      <c r="I61" s="476"/>
      <c r="J61" s="941"/>
      <c r="Q61" s="495">
        <v>0</v>
      </c>
    </row>
    <row s="5796" customFormat="1" customHeight="1" ht="33.75" hidden="1">
      <c r="A62" s="850"/>
      <c r="B62" s="163"/>
      <c r="C62" s="473"/>
      <c r="D62" s="475"/>
      <c r="E62" s="1230" t="s">
        <v>71</v>
      </c>
      <c r="F62" s="1736" t="s">
        <v>64</v>
      </c>
      <c r="G62" s="138"/>
      <c r="H62" s="838" t="s">
        <v>22</v>
      </c>
      <c r="I62" s="476"/>
      <c r="J62" s="941"/>
      <c r="Q62" s="474">
        <v>0</v>
      </c>
    </row>
    <row s="351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2850"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D47ABF4-BC1D-D4DF-9FE3-0.85654A12}"/>
    <hyperlink ref="H17" location="Титульный!H9" display="Как заполнить?" tooltip="Помощь по работе с полями отчётной формы" xr:uid="{5A60C7C5-EA63-6E11-680E-0.2C8C0653}"/>
    <hyperlink ref="F24" r:id="rId4" xr:uid="{7C1CEDDB-5757-1F33-2606-0.047CCC8D}"/>
    <hyperlink ref="F29" r:id="rId5" xr:uid="{EDAB1B17-F4FA-1963-124F-0.1C00C2A7}"/>
    <hyperlink ref="H39" location="Титульный!H9" display="Как заполнить?" tooltip="Помощь по работе с полями отчётной формы" xr:uid="{03A31593-9963-4C86-7F11-0.D16AA423}"/>
    <hyperlink ref="H62" location="Титульный!H9" display="Как заполнить?" tooltip="Помощь по работе с полями отчётной формы" xr:uid="{7AA3C109-D538-2962-DC47-0.8D486607}"/>
    <hyperlink ref="F70" r:id="rId6" xr:uid="{4CA1B049-0651-74CD-A328-0.E0558D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C05F-C829-DDAB-4F18-0.5E9F3A3A}" mc:Ignorable="x14ac xr xr2 xr3">
  <sheetPr>
    <tabColor theme="6" tint="0.4"/>
  </sheetPr>
  <dimension ref="A1:BA70"/>
  <sheetViews>
    <sheetView topLeftCell="A1" showGridLines="0" zoomScale="90" workbookViewId="0">
      <selection activeCell="T65" sqref="T65:AU65"/>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4989" width="3.00390625" customWidth="1"/>
    <col min="17" max="17" style="3698" width="3.00390625" customWidth="1"/>
    <col min="18" max="18" style="5766" width="3.00390625" customWidth="1"/>
    <col min="19" max="19" style="6453" width="12.00390625" customWidth="1"/>
    <col min="20" max="20" style="5796" width="31.00390625" customWidth="1"/>
    <col min="21" max="21" style="5796" width="0.140625" customWidth="1"/>
    <col min="22" max="23" style="5796" width="21.7109375" hidden="1" customWidth="1"/>
    <col min="24" max="24" style="5796" width="11.7109375" hidden="1" customWidth="1"/>
    <col min="25" max="25" style="5796" width="3.7109375" hidden="1" customWidth="1"/>
    <col min="26" max="26" style="5796" width="11.7109375" hidden="1" customWidth="1"/>
    <col min="27" max="27" style="5796" width="8.57421875" hidden="1" customWidth="1"/>
    <col min="28" max="28" style="5796" width="5.421875" customWidth="1"/>
    <col min="29" max="30" style="5796" width="3.00390625" customWidth="1"/>
    <col min="31" max="31" style="5796" width="24.00390625" customWidth="1"/>
    <col min="32" max="32" style="5796" width="3.7109375" customWidth="1"/>
    <col min="33" max="34" style="5796" width="3.00390625" customWidth="1"/>
    <col min="35" max="35" style="5796" width="24.00390625" customWidth="1"/>
    <col min="36" max="36" style="5796" width="3.7109375" customWidth="1"/>
    <col min="37" max="38" style="5796" width="3.00390625" customWidth="1"/>
    <col min="39" max="39" style="5796" width="18.00390625" customWidth="1"/>
    <col min="40" max="41" style="5796" width="21.00390625" customWidth="1"/>
    <col min="42" max="42" style="5796" width="11.00390625" customWidth="1"/>
    <col min="43" max="43" style="5796" width="3.7109375" customWidth="1"/>
    <col min="44" max="44" style="5796" width="11.00390625" customWidth="1"/>
    <col min="45" max="45" style="5796" width="8.57421875" hidden="1" customWidth="1"/>
    <col min="46" max="46" style="5796" width="4.00390625" customWidth="1"/>
    <col min="47" max="47" style="5796" width="115.00390625" customWidth="1"/>
    <col min="48" max="52" style="5305" width="10.00390625" customWidth="1"/>
    <col min="53" max="53" style="5796"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405</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406</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407</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408</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409</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410</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411</v>
      </c>
      <c r="AW5" s="565"/>
      <c r="AX5" s="565" t="str">
        <f>IF(T5="","",T5)</f>
        <v>Источник тепловой энергии  </v>
      </c>
      <c r="AY5" s="565"/>
      <c r="AZ5" s="565"/>
      <c r="BA5" s="1220">
        <v>0</v>
      </c>
    </row>
    <row s="5305" customFormat="1" customHeight="1" ht="0.75" hidden="1">
      <c r="A6" s="1408"/>
      <c r="B6" s="1408"/>
      <c r="C6" s="1408"/>
      <c r="D6" s="1408"/>
      <c r="E6" s="2324"/>
      <c r="F6" s="2324"/>
      <c r="G6" s="2324"/>
      <c r="H6" s="2324"/>
      <c r="I6" s="2321">
        <f>S5&amp;".1"</f>
      </c>
      <c r="J6" s="1408"/>
      <c r="K6" s="1408"/>
      <c r="L6" s="1411" t="s">
        <v>412</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5305"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64</v>
      </c>
      <c r="Z8" s="2330"/>
      <c r="AA8" s="2172" t="s">
        <v>64</v>
      </c>
      <c r="AB8" s="2172" t="s">
        <v>19</v>
      </c>
      <c r="AC8" s="2391"/>
      <c r="AD8" s="2270">
        <v>1</v>
      </c>
      <c r="AE8" s="2392"/>
      <c r="AF8" s="2172" t="s">
        <v>19</v>
      </c>
      <c r="AG8" s="2391"/>
      <c r="AH8" s="2270">
        <v>1</v>
      </c>
      <c r="AI8" s="2392"/>
      <c r="AJ8" s="2172" t="s">
        <v>19</v>
      </c>
      <c r="AK8" s="376"/>
      <c r="AL8" s="1402">
        <v>1</v>
      </c>
      <c r="AM8" s="1463"/>
      <c r="AN8" s="816"/>
      <c r="AO8" s="1322"/>
      <c r="AP8" s="1799"/>
      <c r="AQ8" s="1524" t="s">
        <v>64</v>
      </c>
      <c r="AR8" s="1799"/>
      <c r="AS8" s="1524" t="s">
        <v>64</v>
      </c>
      <c r="AT8" s="1413"/>
      <c r="AU8" s="2318" t="s">
        <v>474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475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5305"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5305"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5305"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5305"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171</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5305"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172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64</v>
      </c>
      <c r="AR19" s="1801"/>
      <c r="AS19" s="1525" t="s">
        <v>64</v>
      </c>
      <c r="BA19" s="1220">
        <v>0</v>
      </c>
    </row>
    <row customHeight="1" ht="14.25" hidden="1">
      <c r="AV20" s="561"/>
      <c r="AW20" s="561"/>
      <c r="AX20" s="561"/>
      <c r="AY20" s="561"/>
      <c r="AZ20" s="561"/>
      <c r="BA20" s="1220">
        <v>0</v>
      </c>
    </row>
    <row customHeight="1" ht="14.25" hidden="1">
      <c r="O21" s="1432" t="s">
        <v>423</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5028" customFormat="1" customHeight="1" ht="14.25" hidden="1">
      <c r="M23" s="1573"/>
      <c r="N23" s="1573"/>
      <c r="O23" s="1574" t="s">
        <v>424</v>
      </c>
      <c r="P23" s="1573"/>
      <c r="Q23" s="1575"/>
      <c r="R23" s="1575"/>
      <c r="Y23" s="1572" t="s">
        <v>426</v>
      </c>
      <c r="AA23" s="1572" t="s">
        <v>427</v>
      </c>
      <c r="AB23" s="1572" t="s">
        <v>479</v>
      </c>
      <c r="AE23" s="1572" t="s">
        <v>480</v>
      </c>
      <c r="AF23" s="1572" t="s">
        <v>479</v>
      </c>
      <c r="AI23" s="1572" t="s">
        <v>481</v>
      </c>
      <c r="AJ23" s="1572" t="s">
        <v>479</v>
      </c>
      <c r="AM23" s="1572" t="s">
        <v>482</v>
      </c>
      <c r="AQ23" s="1572" t="s">
        <v>426</v>
      </c>
      <c r="AS23" s="1572" t="s">
        <v>427</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Нарьян-Марское МУ ПОКиТС</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6339"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УГРЦТ НАО</v>
      </c>
      <c r="W30" s="2316"/>
      <c r="X30" s="2316"/>
      <c r="Y30" s="2316"/>
      <c r="Z30" s="2316"/>
      <c r="AA30" s="391"/>
      <c r="AB30" s="2316" t="str">
        <f>IF(TITLE_NAME_OR_PR_CHANGE="",IF(TITLE_NAME_OR_PR="","",TITLE_NAME_OR_PR),TITLE_NAME_OR_PR_CHANGE)</f>
        <v>УГРЦТ НАО</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6339" customFormat="1" customHeight="1" ht="18.75">
      <c r="A31" s="1433"/>
      <c r="B31" s="1433"/>
      <c r="C31" s="1433"/>
      <c r="D31" s="1433"/>
      <c r="E31" s="1433"/>
      <c r="F31" s="1433"/>
      <c r="G31" s="1433"/>
      <c r="H31" s="1433"/>
      <c r="I31" s="1433"/>
      <c r="J31" s="1433"/>
      <c r="K31" s="1433"/>
      <c r="L31" s="1434"/>
      <c r="M31" s="1433"/>
      <c r="N31" s="1433"/>
      <c r="O31" s="1433"/>
      <c r="P31" s="1433"/>
      <c r="Q31" s="1433"/>
      <c r="S31" s="2315" t="s">
        <v>429</v>
      </c>
      <c r="T31" s="2315"/>
      <c r="U31" s="1437"/>
      <c r="V31" s="2329" t="str">
        <f>IF(TITLE_DATE_PR_CHANGE="",IF(TITLE_DATE_PR="","",TITLE_DATE_PR),TITLE_DATE_PR_CHANGE)</f>
        <v>46008.55446759259</v>
      </c>
      <c r="W31" s="2329"/>
      <c r="X31" s="2329"/>
      <c r="Y31" s="2329"/>
      <c r="Z31" s="2329"/>
      <c r="AA31" s="391"/>
      <c r="AB31" s="2329" t="str">
        <f>IF(TITLE_DATE_PR_CHANGE="",IF(TITLE_DATE_PR="","",TITLE_DATE_PR),TITLE_DATE_PR_CHANGE)</f>
        <v>46008.55446759259</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6339" customFormat="1" customHeight="1" ht="18.75">
      <c r="A32" s="1433"/>
      <c r="B32" s="1433"/>
      <c r="C32" s="1433"/>
      <c r="D32" s="1433"/>
      <c r="E32" s="1433"/>
      <c r="F32" s="1433"/>
      <c r="G32" s="1433"/>
      <c r="H32" s="1433"/>
      <c r="I32" s="1433"/>
      <c r="J32" s="1433"/>
      <c r="K32" s="1433"/>
      <c r="L32" s="1434"/>
      <c r="M32" s="1433"/>
      <c r="N32" s="1433"/>
      <c r="O32" s="1433"/>
      <c r="P32" s="1433"/>
      <c r="Q32" s="1433"/>
      <c r="S32" s="2315" t="s">
        <v>430</v>
      </c>
      <c r="T32" s="2315"/>
      <c r="U32" s="1437"/>
      <c r="V32" s="2316" t="str">
        <f>IF(TITLE_NUMBER_PR_CHANGE="",IF(TITLE_NUMBER_PR="","",TITLE_NUMBER_PR),TITLE_NUMBER_PR_CHANGE)</f>
        <v>57</v>
      </c>
      <c r="W32" s="2316"/>
      <c r="X32" s="2316"/>
      <c r="Y32" s="2316"/>
      <c r="Z32" s="2316"/>
      <c r="AA32" s="391"/>
      <c r="AB32" s="2316" t="str">
        <f>IF(TITLE_NUMBER_PR_CHANGE="",IF(TITLE_NUMBER_PR="","",TITLE_NUMBER_PR),TITLE_NUMBER_PR_CHANGE)</f>
        <v>57</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6339"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http://pravo.gov.ru</v>
      </c>
      <c r="W33" s="2316"/>
      <c r="X33" s="2316"/>
      <c r="Y33" s="2316"/>
      <c r="Z33" s="2316"/>
      <c r="AA33" s="391"/>
      <c r="AB33" s="2316" t="str">
        <f>IF(TITLE_IST_PUB_CHANGE="",IF(TITLE_IST_PUB="","",TITLE_IST_PUB),TITLE_IST_PUB_CHANGE)</f>
        <v>http://pravo.gov.ru</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6339"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429</v>
      </c>
      <c r="T35" s="2315"/>
      <c r="U35" s="1437"/>
      <c r="V35" s="2329" t="str">
        <f>IF(TITLE_DATE_PR_CHANGE="",IF(TITLE_DATE_PR="","",TITLE_DATE_PR),TITLE_DATE_PR_CHANGE)</f>
        <v>46008.55446759259</v>
      </c>
      <c r="W35" s="2329"/>
      <c r="X35" s="2329"/>
      <c r="Y35" s="2329"/>
      <c r="Z35" s="2329"/>
      <c r="AA35" s="391"/>
      <c r="AB35" s="2329" t="str">
        <f>IF(TITLE_DATE_PR_CHANGE="",IF(TITLE_DATE_PR="","",TITLE_DATE_PR),TITLE_DATE_PR_CHANGE)</f>
        <v>46008.55446759259</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6339"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430</v>
      </c>
      <c r="T36" s="2315"/>
      <c r="U36" s="1437"/>
      <c r="V36" s="2316" t="str">
        <f>IF(TITLE_NUMBER_PR_CHANGE="",IF(TITLE_NUMBER_PR="","",TITLE_NUMBER_PR),TITLE_NUMBER_PR_CHANGE)</f>
        <v>57</v>
      </c>
      <c r="W36" s="2316"/>
      <c r="X36" s="2316"/>
      <c r="Y36" s="2316"/>
      <c r="Z36" s="2316"/>
      <c r="AA36" s="391"/>
      <c r="AB36" s="2316" t="str">
        <f>IF(TITLE_NUMBER_PR_CHANGE="",IF(TITLE_NUMBER_PR="","",TITLE_NUMBER_PR),TITLE_NUMBER_PR_CHANGE)</f>
        <v>57</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6339"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433</v>
      </c>
      <c r="AB37" s="391"/>
      <c r="AC37" s="391"/>
      <c r="AD37" s="391"/>
      <c r="AE37" s="391"/>
      <c r="AF37" s="391"/>
      <c r="AG37" s="391"/>
      <c r="AH37" s="391"/>
      <c r="AI37" s="391"/>
      <c r="AJ37" s="391"/>
      <c r="AK37" s="391"/>
      <c r="AL37" s="391"/>
      <c r="AM37" s="391"/>
      <c r="AN37" s="391"/>
      <c r="AO37" s="391"/>
      <c r="AP37" s="391"/>
      <c r="AQ37" s="391"/>
      <c r="AR37" s="391"/>
      <c r="AS37" s="343" t="s">
        <v>433</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309</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310</v>
      </c>
      <c r="BA39" s="1220">
        <v>14</v>
      </c>
    </row>
    <row customHeight="1" ht="14.699999999999998">
      <c r="Q40" s="356"/>
      <c r="R40" s="441"/>
      <c r="S40" s="2338" t="s">
        <v>91</v>
      </c>
      <c r="T40" s="2274" t="s">
        <v>483</v>
      </c>
      <c r="U40" s="366"/>
      <c r="V40" s="2340"/>
      <c r="W40" s="2340"/>
      <c r="X40" s="2340"/>
      <c r="Y40" s="2340"/>
      <c r="Z40" s="2341"/>
      <c r="AA40" s="2401" t="s">
        <v>436</v>
      </c>
      <c r="AB40" s="2393" t="s">
        <v>484</v>
      </c>
      <c r="AC40" s="2356"/>
      <c r="AD40" s="2356"/>
      <c r="AE40" s="2394"/>
      <c r="AF40" s="2356" t="s">
        <v>485</v>
      </c>
      <c r="AG40" s="2356"/>
      <c r="AH40" s="2356"/>
      <c r="AI40" s="2394"/>
      <c r="AJ40" s="2393" t="s">
        <v>486</v>
      </c>
      <c r="AK40" s="2356"/>
      <c r="AL40" s="2356"/>
      <c r="AM40" s="2394"/>
      <c r="AN40" s="2393" t="s">
        <v>435</v>
      </c>
      <c r="AO40" s="2356"/>
      <c r="AP40" s="2340"/>
      <c r="AQ40" s="2340"/>
      <c r="AR40" s="2341"/>
      <c r="AS40" s="2342" t="s">
        <v>436</v>
      </c>
      <c r="AT40" s="2345" t="s">
        <v>438</v>
      </c>
      <c r="AU40" s="2192"/>
      <c r="BA40" s="1220">
        <v>14</v>
      </c>
    </row>
    <row customHeight="1" ht="35.699999999999996">
      <c r="Q41" s="356"/>
      <c r="R41" s="441"/>
      <c r="S41" s="2338"/>
      <c r="T41" s="2274"/>
      <c r="U41" s="1096"/>
      <c r="V41" s="2192" t="s">
        <v>487</v>
      </c>
      <c r="W41" s="2192"/>
      <c r="X41" s="2359" t="s">
        <v>442</v>
      </c>
      <c r="Y41" s="2378"/>
      <c r="Z41" s="2379"/>
      <c r="AA41" s="2402"/>
      <c r="AB41" s="2395"/>
      <c r="AC41" s="2396"/>
      <c r="AD41" s="2396"/>
      <c r="AE41" s="2397"/>
      <c r="AF41" s="2396"/>
      <c r="AG41" s="2396"/>
      <c r="AH41" s="2396"/>
      <c r="AI41" s="2397"/>
      <c r="AJ41" s="2395"/>
      <c r="AK41" s="2396"/>
      <c r="AL41" s="2396"/>
      <c r="AM41" s="2396"/>
      <c r="AN41" s="2192" t="s">
        <v>487</v>
      </c>
      <c r="AO41" s="2192"/>
      <c r="AP41" s="2378" t="s">
        <v>442</v>
      </c>
      <c r="AQ41" s="2378"/>
      <c r="AR41" s="2379"/>
      <c r="AS41" s="2343"/>
      <c r="AT41" s="2346"/>
      <c r="AU41" s="2192"/>
      <c r="BA41" s="1220">
        <v>34</v>
      </c>
    </row>
    <row customHeight="1" ht="15">
      <c r="Q42" s="356"/>
      <c r="R42" s="441"/>
      <c r="S42" s="2338"/>
      <c r="T42" s="2274"/>
      <c r="U42" s="1096"/>
      <c r="V42" s="2405" t="str">
        <f>IF($AN$42&lt;&gt;"",$AN$42,"")</f>
        <v>тыс.руб./Гкал/ч</v>
      </c>
      <c r="W42" s="2405"/>
      <c r="X42" s="2360"/>
      <c r="Y42" s="2380"/>
      <c r="Z42" s="2381"/>
      <c r="AA42" s="2402"/>
      <c r="AB42" s="2395"/>
      <c r="AC42" s="2396"/>
      <c r="AD42" s="2396"/>
      <c r="AE42" s="2397"/>
      <c r="AF42" s="2396"/>
      <c r="AG42" s="2396"/>
      <c r="AH42" s="2396"/>
      <c r="AI42" s="2397"/>
      <c r="AJ42" s="2395"/>
      <c r="AK42" s="2396"/>
      <c r="AL42" s="2396"/>
      <c r="AM42" s="2396"/>
      <c r="AN42" s="2404" t="s">
        <v>488</v>
      </c>
      <c r="AO42" s="2404"/>
      <c r="AP42" s="2380"/>
      <c r="AQ42" s="2380"/>
      <c r="AR42" s="2381"/>
      <c r="AS42" s="2343"/>
      <c r="AT42" s="2346"/>
      <c r="AU42" s="2192"/>
      <c r="BA42" s="1220">
        <v>14</v>
      </c>
    </row>
    <row customHeight="1" ht="14.699999999999998">
      <c r="A43" s="1435"/>
      <c r="B43" s="1435" t="s">
        <v>138</v>
      </c>
      <c r="C43" s="1435" t="s">
        <v>139</v>
      </c>
      <c r="D43" s="1435" t="s">
        <v>140</v>
      </c>
      <c r="E43" s="1429" t="s">
        <v>443</v>
      </c>
      <c r="F43" s="1429" t="s">
        <v>444</v>
      </c>
      <c r="G43" s="1429" t="s">
        <v>445</v>
      </c>
      <c r="H43" s="1429" t="s">
        <v>446</v>
      </c>
      <c r="I43" s="1429" t="s">
        <v>447</v>
      </c>
      <c r="J43" s="1429" t="s">
        <v>448</v>
      </c>
      <c r="K43" s="1429" t="s">
        <v>449</v>
      </c>
      <c r="L43" s="1429" t="s">
        <v>424</v>
      </c>
      <c r="Q43" s="356"/>
      <c r="R43" s="441"/>
      <c r="S43" s="2338"/>
      <c r="T43" s="2274"/>
      <c r="U43" s="367"/>
      <c r="V43" s="1395" t="s">
        <v>489</v>
      </c>
      <c r="W43" s="1395" t="s">
        <v>490</v>
      </c>
      <c r="X43" s="1403" t="s">
        <v>452</v>
      </c>
      <c r="Y43" s="2335" t="s">
        <v>453</v>
      </c>
      <c r="Z43" s="2336"/>
      <c r="AA43" s="2403"/>
      <c r="AB43" s="2398"/>
      <c r="AC43" s="2399"/>
      <c r="AD43" s="2399"/>
      <c r="AE43" s="2400"/>
      <c r="AF43" s="2399"/>
      <c r="AG43" s="2399"/>
      <c r="AH43" s="2399"/>
      <c r="AI43" s="2400"/>
      <c r="AJ43" s="2398"/>
      <c r="AK43" s="2399"/>
      <c r="AL43" s="2399"/>
      <c r="AM43" s="2400"/>
      <c r="AN43" s="1925" t="s">
        <v>489</v>
      </c>
      <c r="AO43" s="1925" t="s">
        <v>490</v>
      </c>
      <c r="AP43" s="1403" t="s">
        <v>452</v>
      </c>
      <c r="AQ43" s="2335" t="s">
        <v>453</v>
      </c>
      <c r="AR43" s="2336"/>
      <c r="AS43" s="2344"/>
      <c r="AT43" s="2347"/>
      <c r="AU43" s="2192"/>
      <c r="BA43" s="1220">
        <v>14</v>
      </c>
    </row>
    <row s="4600"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209</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209</v>
      </c>
      <c r="B46" s="1428" t="s">
        <v>210</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406</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407</v>
      </c>
      <c r="AW46" s="565"/>
      <c r="AX46" s="565" t="str">
        <f>IF(T46="","",T46)</f>
        <v>Территория действия тарифа</v>
      </c>
      <c r="AY46" s="565"/>
      <c r="AZ46" s="565"/>
      <c r="BA46" s="1220">
        <v>21</v>
      </c>
    </row>
    <row customHeight="1" ht="24">
      <c r="A47" s="1428" t="s">
        <v>209</v>
      </c>
      <c r="B47" s="1428" t="s">
        <v>210</v>
      </c>
      <c r="C47" s="1428" t="s">
        <v>211</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408</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409</v>
      </c>
      <c r="AW47" s="565"/>
      <c r="AX47" s="565" t="str">
        <f>IF(T47="","",T47)</f>
        <v>Наименование системы теплоснабжения </v>
      </c>
      <c r="AY47" s="565"/>
      <c r="AZ47" s="565"/>
      <c r="BA47" s="1220">
        <v>23</v>
      </c>
    </row>
    <row customHeight="1" ht="21">
      <c r="A48" s="1428" t="s">
        <v>209</v>
      </c>
      <c r="B48" s="1428" t="s">
        <v>210</v>
      </c>
      <c r="C48" s="1428" t="s">
        <v>211</v>
      </c>
      <c r="D48" s="1428" t="s">
        <v>212</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410</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411</v>
      </c>
      <c r="AW48" s="565"/>
      <c r="AX48" s="565" t="str">
        <f>IF(T48="","",T48)</f>
        <v>Источник тепловой энергии  </v>
      </c>
      <c r="AY48" s="565"/>
      <c r="AZ48" s="565"/>
      <c r="BA48" s="1220">
        <v>20</v>
      </c>
    </row>
    <row s="5305" customFormat="1" customHeight="1" ht="1.05">
      <c r="A49" s="1408" t="s">
        <v>209</v>
      </c>
      <c r="B49" s="1408" t="s">
        <v>210</v>
      </c>
      <c r="C49" s="1408" t="s">
        <v>211</v>
      </c>
      <c r="D49" s="1408" t="s">
        <v>212</v>
      </c>
      <c r="E49" s="2324"/>
      <c r="F49" s="2324"/>
      <c r="G49" s="2324"/>
      <c r="H49" s="2324"/>
      <c r="I49" s="2321" t="str">
        <f>S48&amp;".1"</f>
        <v>....1</v>
      </c>
      <c r="J49" s="1408"/>
      <c r="K49" s="1408"/>
      <c r="L49" s="1411" t="s">
        <v>412</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5305" customFormat="1" customHeight="1" ht="1.05">
      <c r="A50" s="1408" t="s">
        <v>209</v>
      </c>
      <c r="B50" s="1408" t="s">
        <v>210</v>
      </c>
      <c r="C50" s="1408" t="s">
        <v>211</v>
      </c>
      <c r="D50" s="1408" t="s">
        <v>212</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209</v>
      </c>
      <c r="B51" s="1428" t="s">
        <v>210</v>
      </c>
      <c r="C51" s="1428" t="s">
        <v>211</v>
      </c>
      <c r="D51" s="1428" t="s">
        <v>212</v>
      </c>
      <c r="E51" s="2324"/>
      <c r="F51" s="2324"/>
      <c r="G51" s="2324"/>
      <c r="H51" s="2324"/>
      <c r="I51" s="2351"/>
      <c r="J51" s="2351"/>
      <c r="K51" s="2321" t="str">
        <f>S48&amp;".1"</f>
        <v>....1</v>
      </c>
      <c r="L51" s="1429"/>
      <c r="P51" s="2322"/>
      <c r="Q51" s="2322"/>
      <c r="R51" s="422">
        <v>1</v>
      </c>
      <c r="S51" s="2406" t="str">
        <f>$K51</f>
        <v>....1</v>
      </c>
      <c r="T51" s="2409" t="s">
        <v>491</v>
      </c>
      <c r="U51" s="365"/>
      <c r="V51" s="816"/>
      <c r="W51" s="1322"/>
      <c r="X51" s="1799"/>
      <c r="Y51" s="1524" t="s">
        <v>64</v>
      </c>
      <c r="Z51" s="1799"/>
      <c r="AA51" s="1524" t="s">
        <v>64</v>
      </c>
      <c r="AB51" s="2172" t="s">
        <v>64</v>
      </c>
      <c r="AC51" s="2391"/>
      <c r="AD51" s="2270">
        <v>1</v>
      </c>
      <c r="AE51" s="7149" t="s">
        <v>492</v>
      </c>
      <c r="AF51" s="2172" t="s">
        <v>19</v>
      </c>
      <c r="AG51" s="2391"/>
      <c r="AH51" s="2270">
        <v>1</v>
      </c>
      <c r="AI51" s="2413" t="s">
        <v>28</v>
      </c>
      <c r="AJ51" s="2172" t="s">
        <v>19</v>
      </c>
      <c r="AK51" s="376"/>
      <c r="AL51" s="1402">
        <v>1</v>
      </c>
      <c r="AM51" s="1467"/>
      <c r="AN51" s="816">
        <f>AO51*1.2</f>
        <v>21.252</v>
      </c>
      <c r="AO51" s="1322">
        <v>17.71</v>
      </c>
      <c r="AP51" s="6462">
        <v>45658</v>
      </c>
      <c r="AQ51" s="1524" t="s">
        <v>64</v>
      </c>
      <c r="AR51" s="6462">
        <v>46022.54657407408</v>
      </c>
      <c r="AS51" s="1524" t="s">
        <v>64</v>
      </c>
      <c r="AT51" s="1413"/>
      <c r="AU51" s="2318" t="s">
        <v>493</v>
      </c>
      <c r="AV51" s="576">
        <f>STRCHECKDATE(V54:AT54)</f>
      </c>
      <c r="AW51" s="565"/>
      <c r="AX51" s="565" t="str">
        <f>IF(T51="","",T51)</f>
        <v>обязательные мероприятия по подключению объектов заявителей</v>
      </c>
      <c r="AY51" s="565"/>
      <c r="AZ51" s="565"/>
      <c r="BA51" s="1220">
        <v>21</v>
      </c>
    </row>
    <row customHeight="1" ht="11.549999999999999">
      <c r="A52" s="1428" t="s">
        <v>209</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7149"/>
      <c r="AF52" s="2172"/>
      <c r="AG52" s="2391"/>
      <c r="AH52" s="2270"/>
      <c r="AI52" s="2413"/>
      <c r="AJ52" s="2172"/>
      <c r="AK52" s="381"/>
      <c r="AL52" s="481"/>
      <c r="AM52" s="480" t="s">
        <v>475</v>
      </c>
      <c r="AN52" s="1458"/>
      <c r="AO52" s="1561"/>
      <c r="AP52" s="1458"/>
      <c r="AQ52" s="1458"/>
      <c r="AR52" s="1458"/>
      <c r="AS52" s="1458"/>
      <c r="AT52" s="1455"/>
      <c r="AU52" s="2319"/>
      <c r="AW52" s="565"/>
      <c r="AX52" s="565"/>
      <c r="AY52" s="565"/>
      <c r="AZ52" s="565"/>
      <c r="BA52" s="1220">
        <v>11</v>
      </c>
    </row>
    <row customHeight="1" ht="11.549999999999999">
      <c r="A53" s="1428" t="s">
        <v>209</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7149"/>
      <c r="AF53" s="2172"/>
      <c r="AG53" s="359"/>
      <c r="AH53" s="480"/>
      <c r="AI53" s="480" t="s">
        <v>476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209</v>
      </c>
      <c r="B54" s="1428" t="s">
        <v>210</v>
      </c>
      <c r="C54" s="1428" t="s">
        <v>211</v>
      </c>
      <c r="D54" s="1428" t="s">
        <v>212</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477</v>
      </c>
      <c r="AF54" s="1458"/>
      <c r="AG54" s="1458"/>
      <c r="AH54" s="1458"/>
      <c r="AI54" s="1458"/>
      <c r="AJ54" s="1458"/>
      <c r="AK54" s="1458"/>
      <c r="AL54" s="1458"/>
      <c r="AM54" s="1458"/>
      <c r="AN54" s="1458"/>
      <c r="AO54" s="1459" t="str">
        <f>AP51&amp;"-"&amp;AR51</f>
        <v>45658-46022.54657407408</v>
      </c>
      <c r="AP54" s="1458"/>
      <c r="AQ54" s="1458"/>
      <c r="AR54" s="1458"/>
      <c r="AS54" s="1458"/>
      <c r="AT54" s="1414"/>
      <c r="AU54" s="2319"/>
      <c r="AW54" s="565"/>
      <c r="AX54" s="565" t="str">
        <f>IF(T54="","",T54)</f>
        <v/>
      </c>
      <c r="AY54" s="565"/>
      <c r="AZ54" s="565"/>
      <c r="BA54" s="1220">
        <v>11</v>
      </c>
    </row>
    <row customHeight="1" ht="11.549999999999999">
      <c r="A55" s="1428" t="s">
        <v>209</v>
      </c>
      <c r="B55" s="1428" t="s">
        <v>210</v>
      </c>
      <c r="C55" s="1428" t="s">
        <v>211</v>
      </c>
      <c r="D55" s="1428" t="s">
        <v>212</v>
      </c>
      <c r="E55" s="2324"/>
      <c r="F55" s="2324"/>
      <c r="G55" s="2324"/>
      <c r="H55" s="2324"/>
      <c r="I55" s="2351"/>
      <c r="J55" s="2321"/>
      <c r="K55" s="1428"/>
      <c r="L55" s="1429"/>
      <c r="P55" s="2322"/>
      <c r="Q55" s="2322"/>
      <c r="R55" s="421"/>
      <c r="S55" s="1343"/>
      <c r="T55" s="352" t="s">
        <v>478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5305" customFormat="1" customHeight="1" ht="1.05">
      <c r="A56" s="1408" t="s">
        <v>209</v>
      </c>
      <c r="B56" s="1408" t="s">
        <v>210</v>
      </c>
      <c r="C56" s="1408" t="s">
        <v>211</v>
      </c>
      <c r="D56" s="1408" t="s">
        <v>212</v>
      </c>
      <c r="E56" s="2324"/>
      <c r="F56" s="2324"/>
      <c r="G56" s="2324"/>
      <c r="H56" s="2324"/>
      <c r="I56" s="2321"/>
      <c r="J56" s="1408"/>
      <c r="K56" s="1408"/>
      <c r="L56" s="1411"/>
      <c r="M56" s="575"/>
      <c r="N56" s="575"/>
      <c r="O56" s="575"/>
      <c r="P56" s="2322"/>
      <c r="Q56" s="1396"/>
      <c r="R56" s="421"/>
      <c r="S56" s="1451"/>
      <c r="T56" s="1452" t="s">
        <v>421</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4600" customFormat="1" customHeight="1" ht="1.05">
      <c r="A57" s="1408" t="s">
        <v>209</v>
      </c>
      <c r="B57" s="1408" t="s">
        <v>210</v>
      </c>
      <c r="C57" s="1408" t="s">
        <v>211</v>
      </c>
      <c r="D57" s="1408" t="s">
        <v>212</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5305" customFormat="1" customHeight="1" ht="1.05">
      <c r="A58" s="1408" t="s">
        <v>209</v>
      </c>
      <c r="B58" s="1408" t="s">
        <v>210</v>
      </c>
      <c r="C58" s="1408" t="s">
        <v>211</v>
      </c>
      <c r="D58" s="1379"/>
      <c r="E58" s="2324"/>
      <c r="F58" s="2324"/>
      <c r="G58" s="2323"/>
      <c r="H58" s="1379"/>
      <c r="I58" s="1379"/>
      <c r="J58" s="1379"/>
      <c r="K58" s="1379"/>
      <c r="L58" s="1404"/>
      <c r="M58" s="1380"/>
      <c r="N58" s="1380"/>
      <c r="P58" s="1381"/>
      <c r="Q58" s="1382"/>
      <c r="R58" s="1381"/>
      <c r="S58" s="1387"/>
      <c r="T58" s="1390" t="s">
        <v>170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5305" customFormat="1" customHeight="1" ht="1.05">
      <c r="A59" s="1408" t="s">
        <v>209</v>
      </c>
      <c r="B59" s="1408" t="s">
        <v>210</v>
      </c>
      <c r="C59" s="1379"/>
      <c r="D59" s="1379"/>
      <c r="E59" s="2324"/>
      <c r="F59" s="2323"/>
      <c r="G59" s="1379"/>
      <c r="H59" s="1379"/>
      <c r="I59" s="1379"/>
      <c r="J59" s="1379"/>
      <c r="K59" s="1379"/>
      <c r="L59" s="1404"/>
      <c r="M59" s="1386"/>
      <c r="N59" s="1386"/>
      <c r="P59" s="1381"/>
      <c r="Q59" s="1382"/>
      <c r="R59" s="1381"/>
      <c r="S59" s="1387"/>
      <c r="T59" s="1390" t="s">
        <v>171</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5305" customFormat="1" customHeight="1" ht="1.05">
      <c r="A60" s="1408" t="s">
        <v>209</v>
      </c>
      <c r="B60" s="1408"/>
      <c r="C60" s="1408"/>
      <c r="D60" s="1408"/>
      <c r="E60" s="2324"/>
      <c r="F60" s="1408"/>
      <c r="G60" s="1408"/>
      <c r="H60" s="1408"/>
      <c r="I60" s="1408"/>
      <c r="J60" s="1408"/>
      <c r="K60" s="1408"/>
      <c r="L60" s="1411"/>
      <c r="M60" s="1386"/>
      <c r="N60" s="1386"/>
      <c r="O60" s="583"/>
      <c r="P60" s="445"/>
      <c r="Q60" s="1409"/>
      <c r="R60" s="445"/>
      <c r="S60" s="1387"/>
      <c r="T60" s="1390" t="s">
        <v>172</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5305" customFormat="1" customHeight="1" ht="1.05">
      <c r="A61" s="1408" t="s">
        <v>209</v>
      </c>
      <c r="B61" s="1408"/>
      <c r="C61" s="1408"/>
      <c r="D61" s="1408"/>
      <c r="E61" s="2323"/>
      <c r="F61" s="1408"/>
      <c r="G61" s="1408"/>
      <c r="H61" s="1408"/>
      <c r="I61" s="1408"/>
      <c r="J61" s="1408"/>
      <c r="K61" s="1408"/>
      <c r="L61" s="1411"/>
      <c r="M61" s="1386"/>
      <c r="N61" s="1386"/>
      <c r="O61" s="583"/>
      <c r="P61" s="445"/>
      <c r="Q61" s="1409"/>
      <c r="R61" s="445"/>
      <c r="S61" s="1387"/>
      <c r="T61" s="1390" t="s">
        <v>172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5305"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173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BA3E2-23B5-89D1-9B6E-0.31B93E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490">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486"/>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486"/>
      <c r="M19" s="1427"/>
      <c r="N19" s="1427"/>
      <c r="O19" s="1427"/>
      <c r="P19" s="1427"/>
      <c r="Q19" s="1436"/>
      <c r="R19" s="1436"/>
      <c r="S19" s="794"/>
      <c r="AB19" s="1431"/>
      <c r="AI19" s="1431"/>
      <c r="AL19" s="576"/>
      <c r="AM19" s="576"/>
      <c r="AN19" s="576"/>
      <c r="AO19" s="576"/>
      <c r="AP19" s="576"/>
      <c r="AQ19" s="1225">
        <v>0</v>
      </c>
    </row>
    <row s="5745" customFormat="1" customHeight="1" ht="12" hidden="1">
      <c r="L20" s="1486"/>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417" t="s">
        <v>502</v>
      </c>
      <c r="W38" s="2327" t="s">
        <v>441</v>
      </c>
      <c r="X38" s="2328"/>
      <c r="Y38" s="2327" t="s">
        <v>442</v>
      </c>
      <c r="Z38" s="2334"/>
      <c r="AA38" s="2328"/>
      <c r="AB38" s="2343"/>
      <c r="AC38" s="1417" t="s">
        <v>502</v>
      </c>
      <c r="AD38" s="2327" t="s">
        <v>441</v>
      </c>
      <c r="AE38" s="2328"/>
      <c r="AF38" s="2327" t="s">
        <v>442</v>
      </c>
      <c r="AG38" s="2334"/>
      <c r="AH38" s="2328"/>
      <c r="AI38" s="2343"/>
      <c r="AJ38" s="2346"/>
      <c r="AK38" s="2192"/>
      <c r="AQ38" s="1220">
        <v>34</v>
      </c>
    </row>
    <row customHeight="1" ht="35.699999999999996">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417" t="s">
        <v>505</v>
      </c>
      <c r="W39" s="1287" t="s">
        <v>506</v>
      </c>
      <c r="X39" s="1287" t="s">
        <v>507</v>
      </c>
      <c r="Y39" s="1422" t="s">
        <v>452</v>
      </c>
      <c r="Z39" s="2335" t="s">
        <v>453</v>
      </c>
      <c r="AA39" s="2336"/>
      <c r="AB39" s="2344"/>
      <c r="AC39" s="1417" t="s">
        <v>505</v>
      </c>
      <c r="AD39" s="1287" t="s">
        <v>506</v>
      </c>
      <c r="AE39" s="1287" t="s">
        <v>507</v>
      </c>
      <c r="AF39" s="1422" t="s">
        <v>452</v>
      </c>
      <c r="AG39" s="2335" t="s">
        <v>453</v>
      </c>
      <c r="AH39" s="2336"/>
      <c r="AI39" s="2344"/>
      <c r="AJ39" s="2347"/>
      <c r="AK39" s="2192"/>
      <c r="AQ39" s="1220">
        <v>34</v>
      </c>
    </row>
    <row s="4600"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235</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235</v>
      </c>
      <c r="B42" s="1428" t="s">
        <v>236</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235</v>
      </c>
      <c r="B43" s="1428" t="s">
        <v>236</v>
      </c>
      <c r="C43" s="1428" t="s">
        <v>237</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235</v>
      </c>
      <c r="B44" s="1428" t="s">
        <v>236</v>
      </c>
      <c r="C44" s="1428" t="s">
        <v>237</v>
      </c>
      <c r="D44" s="1428" t="s">
        <v>508</v>
      </c>
      <c r="E44" s="2324"/>
      <c r="F44" s="2324"/>
      <c r="G44" s="2324"/>
      <c r="H44" s="2324"/>
      <c r="I44" s="2321" t="str">
        <f>S43&amp;".1"</f>
        <v>...1</v>
      </c>
      <c r="J44" s="1428"/>
      <c r="K44" s="1428"/>
      <c r="L44" s="1429"/>
      <c r="P44" s="2322">
        <v>1</v>
      </c>
      <c r="Q44" s="1419"/>
      <c r="R44" s="421"/>
      <c r="S44" s="1423"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235</v>
      </c>
      <c r="B45" s="1428" t="s">
        <v>236</v>
      </c>
      <c r="C45" s="1428" t="s">
        <v>237</v>
      </c>
      <c r="D45" s="1428" t="s">
        <v>508</v>
      </c>
      <c r="E45" s="2324"/>
      <c r="F45" s="2324"/>
      <c r="G45" s="2324"/>
      <c r="H45" s="2324"/>
      <c r="I45" s="2351"/>
      <c r="J45" s="2321" t="str">
        <f>I44&amp;".1"</f>
        <v>...1.1</v>
      </c>
      <c r="K45" s="1428"/>
      <c r="L45" s="1429" t="s">
        <v>415</v>
      </c>
      <c r="P45" s="2322"/>
      <c r="Q45" s="2322">
        <v>1</v>
      </c>
      <c r="R45" s="422"/>
      <c r="S45" s="1423"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235</v>
      </c>
      <c r="B46" s="1428" t="s">
        <v>236</v>
      </c>
      <c r="C46" s="1428" t="s">
        <v>237</v>
      </c>
      <c r="D46" s="1428" t="s">
        <v>508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235</v>
      </c>
      <c r="B47" s="1428" t="s">
        <v>236</v>
      </c>
      <c r="C47" s="1428" t="s">
        <v>237</v>
      </c>
      <c r="D47" s="1428" t="s">
        <v>508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235</v>
      </c>
      <c r="B48" s="1428" t="s">
        <v>236</v>
      </c>
      <c r="C48" s="1428" t="s">
        <v>237</v>
      </c>
      <c r="D48" s="1428" t="s">
        <v>508</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235</v>
      </c>
      <c r="B49" s="1428" t="s">
        <v>236</v>
      </c>
      <c r="C49" s="1428" t="s">
        <v>237</v>
      </c>
      <c r="D49" s="1428" t="s">
        <v>508</v>
      </c>
      <c r="E49" s="2324"/>
      <c r="F49" s="2324"/>
      <c r="G49" s="2324"/>
      <c r="H49" s="2324"/>
      <c r="I49" s="2321"/>
      <c r="J49" s="1428"/>
      <c r="K49" s="1428"/>
      <c r="L49" s="1429"/>
      <c r="P49" s="2322"/>
      <c r="Q49" s="1419"/>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235</v>
      </c>
      <c r="B50" s="1428" t="s">
        <v>236</v>
      </c>
      <c r="C50" s="1428" t="s">
        <v>237</v>
      </c>
      <c r="D50" s="1428" t="s">
        <v>508</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235</v>
      </c>
      <c r="B51" s="1408" t="s">
        <v>236</v>
      </c>
      <c r="C51" s="1379"/>
      <c r="D51" s="1379"/>
      <c r="E51" s="2324"/>
      <c r="F51" s="2323"/>
      <c r="G51" s="1379"/>
      <c r="H51" s="1379"/>
      <c r="I51" s="1379"/>
      <c r="J51" s="1379"/>
      <c r="K51" s="1379"/>
      <c r="L51" s="1491"/>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235</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06A81-560B-5685-123C-0.44D5EF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522">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512"/>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512"/>
      <c r="M19" s="1427"/>
      <c r="N19" s="1427"/>
      <c r="O19" s="1427"/>
      <c r="P19" s="1427"/>
      <c r="Q19" s="1436"/>
      <c r="R19" s="1436"/>
      <c r="S19" s="794"/>
      <c r="AB19" s="1431"/>
      <c r="AI19" s="1431"/>
      <c r="AL19" s="576"/>
      <c r="AM19" s="576"/>
      <c r="AN19" s="576"/>
      <c r="AO19" s="576"/>
      <c r="AP19" s="576"/>
      <c r="AQ19" s="1225">
        <v>0</v>
      </c>
    </row>
    <row s="5745" customFormat="1" customHeight="1" ht="12" hidden="1">
      <c r="L20" s="1512"/>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517" t="s">
        <v>502</v>
      </c>
      <c r="W38" s="2327" t="s">
        <v>441</v>
      </c>
      <c r="X38" s="2328"/>
      <c r="Y38" s="2327" t="s">
        <v>442</v>
      </c>
      <c r="Z38" s="2334"/>
      <c r="AA38" s="2328"/>
      <c r="AB38" s="2343"/>
      <c r="AC38" s="1517" t="s">
        <v>502</v>
      </c>
      <c r="AD38" s="2327" t="s">
        <v>441</v>
      </c>
      <c r="AE38" s="2328"/>
      <c r="AF38" s="2327" t="s">
        <v>442</v>
      </c>
      <c r="AG38" s="2334"/>
      <c r="AH38" s="2328"/>
      <c r="AI38" s="2343"/>
      <c r="AJ38" s="2346"/>
      <c r="AK38" s="2192"/>
      <c r="AQ38" s="1220">
        <v>34</v>
      </c>
    </row>
    <row customHeight="1" ht="35.699999999999996">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517" t="s">
        <v>505</v>
      </c>
      <c r="W39" s="1287" t="s">
        <v>506</v>
      </c>
      <c r="X39" s="1287" t="s">
        <v>507</v>
      </c>
      <c r="Y39" s="1520" t="s">
        <v>452</v>
      </c>
      <c r="Z39" s="2335" t="s">
        <v>453</v>
      </c>
      <c r="AA39" s="2336"/>
      <c r="AB39" s="2344"/>
      <c r="AC39" s="1517" t="s">
        <v>505</v>
      </c>
      <c r="AD39" s="1287" t="s">
        <v>506</v>
      </c>
      <c r="AE39" s="1287" t="s">
        <v>507</v>
      </c>
      <c r="AF39" s="1520" t="s">
        <v>452</v>
      </c>
      <c r="AG39" s="2335" t="s">
        <v>453</v>
      </c>
      <c r="AH39" s="2336"/>
      <c r="AI39" s="2344"/>
      <c r="AJ39" s="2347"/>
      <c r="AK39" s="2192"/>
      <c r="AQ39" s="1220">
        <v>34</v>
      </c>
    </row>
    <row s="4600"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240</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240</v>
      </c>
      <c r="B42" s="1428" t="s">
        <v>241</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240</v>
      </c>
      <c r="B43" s="1428" t="s">
        <v>241</v>
      </c>
      <c r="C43" s="1428" t="s">
        <v>242</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240</v>
      </c>
      <c r="B44" s="1428" t="s">
        <v>241</v>
      </c>
      <c r="C44" s="1428" t="s">
        <v>242</v>
      </c>
      <c r="D44" s="1428" t="s">
        <v>509</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240</v>
      </c>
      <c r="B45" s="1428" t="s">
        <v>241</v>
      </c>
      <c r="C45" s="1428" t="s">
        <v>242</v>
      </c>
      <c r="D45" s="1428" t="s">
        <v>509</v>
      </c>
      <c r="E45" s="2324"/>
      <c r="F45" s="2324"/>
      <c r="G45" s="2324"/>
      <c r="H45" s="2324"/>
      <c r="I45" s="2351"/>
      <c r="J45" s="2321" t="str">
        <f>I44&amp;".1"</f>
        <v>...1.1</v>
      </c>
      <c r="K45" s="1428"/>
      <c r="L45" s="1429" t="s">
        <v>415</v>
      </c>
      <c r="P45" s="2322"/>
      <c r="Q45" s="2322">
        <v>1</v>
      </c>
      <c r="R45" s="422"/>
      <c r="S45" s="1522"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240</v>
      </c>
      <c r="B46" s="1428" t="s">
        <v>241</v>
      </c>
      <c r="C46" s="1428" t="s">
        <v>242</v>
      </c>
      <c r="D46" s="1428" t="s">
        <v>509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240</v>
      </c>
      <c r="B47" s="1428" t="s">
        <v>241</v>
      </c>
      <c r="C47" s="1428" t="s">
        <v>242</v>
      </c>
      <c r="D47" s="1428" t="s">
        <v>509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240</v>
      </c>
      <c r="B48" s="1428" t="s">
        <v>241</v>
      </c>
      <c r="C48" s="1428" t="s">
        <v>242</v>
      </c>
      <c r="D48" s="1428" t="s">
        <v>509</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240</v>
      </c>
      <c r="B49" s="1428" t="s">
        <v>241</v>
      </c>
      <c r="C49" s="1428" t="s">
        <v>242</v>
      </c>
      <c r="D49" s="1428" t="s">
        <v>509</v>
      </c>
      <c r="E49" s="2324"/>
      <c r="F49" s="2324"/>
      <c r="G49" s="2324"/>
      <c r="H49" s="2324"/>
      <c r="I49" s="2321"/>
      <c r="J49" s="1428"/>
      <c r="K49" s="1428"/>
      <c r="L49" s="1429"/>
      <c r="P49" s="2322"/>
      <c r="Q49" s="1515"/>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240</v>
      </c>
      <c r="B50" s="1428" t="s">
        <v>241</v>
      </c>
      <c r="C50" s="1428" t="s">
        <v>242</v>
      </c>
      <c r="D50" s="1428" t="s">
        <v>509</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240</v>
      </c>
      <c r="B51" s="1408" t="s">
        <v>241</v>
      </c>
      <c r="C51" s="1379"/>
      <c r="D51" s="1379"/>
      <c r="E51" s="2324"/>
      <c r="F51" s="2323"/>
      <c r="G51" s="1379"/>
      <c r="H51" s="1379"/>
      <c r="I51" s="1379"/>
      <c r="J51" s="1379"/>
      <c r="K51" s="1379"/>
      <c r="L51" s="1523"/>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240</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3D87A-717B-3DF1-0383-0.CE228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522">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512"/>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512"/>
      <c r="M19" s="1427"/>
      <c r="N19" s="1427"/>
      <c r="O19" s="1427"/>
      <c r="P19" s="1427"/>
      <c r="Q19" s="1436"/>
      <c r="R19" s="1436"/>
      <c r="S19" s="794"/>
      <c r="AB19" s="1431"/>
      <c r="AI19" s="1431"/>
      <c r="AL19" s="576"/>
      <c r="AM19" s="576"/>
      <c r="AN19" s="576"/>
      <c r="AO19" s="576"/>
      <c r="AP19" s="576"/>
      <c r="AQ19" s="1225">
        <v>0</v>
      </c>
    </row>
    <row s="5745" customFormat="1" customHeight="1" ht="12" hidden="1">
      <c r="L20" s="1512"/>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517" t="s">
        <v>502</v>
      </c>
      <c r="W38" s="2327" t="s">
        <v>441</v>
      </c>
      <c r="X38" s="2328"/>
      <c r="Y38" s="2327" t="s">
        <v>442</v>
      </c>
      <c r="Z38" s="2334"/>
      <c r="AA38" s="2328"/>
      <c r="AB38" s="2343"/>
      <c r="AC38" s="1517" t="s">
        <v>502</v>
      </c>
      <c r="AD38" s="2327" t="s">
        <v>441</v>
      </c>
      <c r="AE38" s="2328"/>
      <c r="AF38" s="2327" t="s">
        <v>442</v>
      </c>
      <c r="AG38" s="2334"/>
      <c r="AH38" s="2328"/>
      <c r="AI38" s="2343"/>
      <c r="AJ38" s="2346"/>
      <c r="AK38" s="2192"/>
      <c r="AQ38" s="1220">
        <v>34</v>
      </c>
    </row>
    <row customHeight="1" ht="35.699999999999996">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517" t="s">
        <v>505</v>
      </c>
      <c r="W39" s="1287" t="s">
        <v>506</v>
      </c>
      <c r="X39" s="1287" t="s">
        <v>507</v>
      </c>
      <c r="Y39" s="1520" t="s">
        <v>452</v>
      </c>
      <c r="Z39" s="2335" t="s">
        <v>453</v>
      </c>
      <c r="AA39" s="2336"/>
      <c r="AB39" s="2344"/>
      <c r="AC39" s="1517" t="s">
        <v>505</v>
      </c>
      <c r="AD39" s="1287" t="s">
        <v>506</v>
      </c>
      <c r="AE39" s="1287" t="s">
        <v>507</v>
      </c>
      <c r="AF39" s="1520" t="s">
        <v>452</v>
      </c>
      <c r="AG39" s="2335" t="s">
        <v>453</v>
      </c>
      <c r="AH39" s="2336"/>
      <c r="AI39" s="2344"/>
      <c r="AJ39" s="2347"/>
      <c r="AK39" s="2192"/>
      <c r="AQ39" s="1220">
        <v>34</v>
      </c>
    </row>
    <row s="4600"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245</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245</v>
      </c>
      <c r="B42" s="1428" t="s">
        <v>246</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245</v>
      </c>
      <c r="B43" s="1428" t="s">
        <v>246</v>
      </c>
      <c r="C43" s="1428" t="s">
        <v>247</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245</v>
      </c>
      <c r="B44" s="1428" t="s">
        <v>246</v>
      </c>
      <c r="C44" s="1428" t="s">
        <v>247</v>
      </c>
      <c r="D44" s="1428" t="s">
        <v>510</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245</v>
      </c>
      <c r="B45" s="1428" t="s">
        <v>246</v>
      </c>
      <c r="C45" s="1428" t="s">
        <v>247</v>
      </c>
      <c r="D45" s="1428" t="s">
        <v>510</v>
      </c>
      <c r="E45" s="2324"/>
      <c r="F45" s="2324"/>
      <c r="G45" s="2324"/>
      <c r="H45" s="2324"/>
      <c r="I45" s="2351"/>
      <c r="J45" s="2321" t="str">
        <f>I44&amp;".1"</f>
        <v>...1.1</v>
      </c>
      <c r="K45" s="1428"/>
      <c r="L45" s="1429" t="s">
        <v>415</v>
      </c>
      <c r="P45" s="2322"/>
      <c r="Q45" s="2322">
        <v>1</v>
      </c>
      <c r="R45" s="422"/>
      <c r="S45" s="1522"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245</v>
      </c>
      <c r="B46" s="1428" t="s">
        <v>246</v>
      </c>
      <c r="C46" s="1428" t="s">
        <v>247</v>
      </c>
      <c r="D46" s="1428" t="s">
        <v>510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245</v>
      </c>
      <c r="B47" s="1428" t="s">
        <v>246</v>
      </c>
      <c r="C47" s="1428" t="s">
        <v>247</v>
      </c>
      <c r="D47" s="1428" t="s">
        <v>510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245</v>
      </c>
      <c r="B48" s="1428" t="s">
        <v>246</v>
      </c>
      <c r="C48" s="1428" t="s">
        <v>247</v>
      </c>
      <c r="D48" s="1428" t="s">
        <v>510</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245</v>
      </c>
      <c r="B49" s="1428" t="s">
        <v>246</v>
      </c>
      <c r="C49" s="1428" t="s">
        <v>247</v>
      </c>
      <c r="D49" s="1428" t="s">
        <v>510</v>
      </c>
      <c r="E49" s="2324"/>
      <c r="F49" s="2324"/>
      <c r="G49" s="2324"/>
      <c r="H49" s="2324"/>
      <c r="I49" s="2321"/>
      <c r="J49" s="1428"/>
      <c r="K49" s="1428"/>
      <c r="L49" s="1429"/>
      <c r="P49" s="2322"/>
      <c r="Q49" s="1515"/>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245</v>
      </c>
      <c r="B50" s="1428" t="s">
        <v>246</v>
      </c>
      <c r="C50" s="1428" t="s">
        <v>247</v>
      </c>
      <c r="D50" s="1428" t="s">
        <v>510</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245</v>
      </c>
      <c r="B51" s="1408" t="s">
        <v>246</v>
      </c>
      <c r="C51" s="1379"/>
      <c r="D51" s="1379"/>
      <c r="E51" s="2324"/>
      <c r="F51" s="2323"/>
      <c r="G51" s="1379"/>
      <c r="H51" s="1379"/>
      <c r="I51" s="1379"/>
      <c r="J51" s="1379"/>
      <c r="K51" s="1379"/>
      <c r="L51" s="1523"/>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245</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77C89-C762-62A8-86F9-0.C4CAF8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522">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512"/>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512"/>
      <c r="M19" s="1427"/>
      <c r="N19" s="1427"/>
      <c r="O19" s="1427"/>
      <c r="P19" s="1427"/>
      <c r="Q19" s="1436"/>
      <c r="R19" s="1436"/>
      <c r="S19" s="794"/>
      <c r="AB19" s="1431"/>
      <c r="AI19" s="1431"/>
      <c r="AL19" s="576"/>
      <c r="AM19" s="576"/>
      <c r="AN19" s="576"/>
      <c r="AO19" s="576"/>
      <c r="AP19" s="576"/>
      <c r="AQ19" s="1225">
        <v>0</v>
      </c>
    </row>
    <row s="5745" customFormat="1" customHeight="1" ht="12" hidden="1">
      <c r="L20" s="1512"/>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517" t="s">
        <v>502</v>
      </c>
      <c r="W38" s="2327" t="s">
        <v>441</v>
      </c>
      <c r="X38" s="2328"/>
      <c r="Y38" s="2327" t="s">
        <v>442</v>
      </c>
      <c r="Z38" s="2334"/>
      <c r="AA38" s="2328"/>
      <c r="AB38" s="2343"/>
      <c r="AC38" s="1517" t="s">
        <v>502</v>
      </c>
      <c r="AD38" s="2327" t="s">
        <v>441</v>
      </c>
      <c r="AE38" s="2328"/>
      <c r="AF38" s="2327" t="s">
        <v>442</v>
      </c>
      <c r="AG38" s="2334"/>
      <c r="AH38" s="2328"/>
      <c r="AI38" s="2343"/>
      <c r="AJ38" s="2346"/>
      <c r="AK38" s="2192"/>
      <c r="AQ38" s="1220">
        <v>34</v>
      </c>
    </row>
    <row customHeight="1" ht="35.699999999999996">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517" t="s">
        <v>505</v>
      </c>
      <c r="W39" s="1287" t="s">
        <v>506</v>
      </c>
      <c r="X39" s="1287" t="s">
        <v>507</v>
      </c>
      <c r="Y39" s="1520" t="s">
        <v>452</v>
      </c>
      <c r="Z39" s="2335" t="s">
        <v>453</v>
      </c>
      <c r="AA39" s="2336"/>
      <c r="AB39" s="2344"/>
      <c r="AC39" s="1517" t="s">
        <v>505</v>
      </c>
      <c r="AD39" s="1287" t="s">
        <v>506</v>
      </c>
      <c r="AE39" s="1287" t="s">
        <v>507</v>
      </c>
      <c r="AF39" s="1520" t="s">
        <v>452</v>
      </c>
      <c r="AG39" s="2335" t="s">
        <v>453</v>
      </c>
      <c r="AH39" s="2336"/>
      <c r="AI39" s="2344"/>
      <c r="AJ39" s="2347"/>
      <c r="AK39" s="2192"/>
      <c r="AQ39" s="1220">
        <v>34</v>
      </c>
    </row>
    <row s="4600"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250</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250</v>
      </c>
      <c r="B42" s="1428" t="s">
        <v>251</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250</v>
      </c>
      <c r="B43" s="1428" t="s">
        <v>251</v>
      </c>
      <c r="C43" s="1428" t="s">
        <v>252</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250</v>
      </c>
      <c r="B44" s="1428" t="s">
        <v>251</v>
      </c>
      <c r="C44" s="1428" t="s">
        <v>252</v>
      </c>
      <c r="D44" s="1428" t="s">
        <v>511</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250</v>
      </c>
      <c r="B45" s="1428" t="s">
        <v>251</v>
      </c>
      <c r="C45" s="1428" t="s">
        <v>252</v>
      </c>
      <c r="D45" s="1428" t="s">
        <v>511</v>
      </c>
      <c r="E45" s="2324"/>
      <c r="F45" s="2324"/>
      <c r="G45" s="2324"/>
      <c r="H45" s="2324"/>
      <c r="I45" s="2351"/>
      <c r="J45" s="2321" t="str">
        <f>I44&amp;".1"</f>
        <v>...1.1</v>
      </c>
      <c r="K45" s="1428"/>
      <c r="L45" s="1429" t="s">
        <v>415</v>
      </c>
      <c r="P45" s="2322"/>
      <c r="Q45" s="2322">
        <v>1</v>
      </c>
      <c r="R45" s="422"/>
      <c r="S45" s="1522"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250</v>
      </c>
      <c r="B46" s="1428" t="s">
        <v>251</v>
      </c>
      <c r="C46" s="1428" t="s">
        <v>252</v>
      </c>
      <c r="D46" s="1428" t="s">
        <v>511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250</v>
      </c>
      <c r="B47" s="1428" t="s">
        <v>251</v>
      </c>
      <c r="C47" s="1428" t="s">
        <v>252</v>
      </c>
      <c r="D47" s="1428" t="s">
        <v>511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250</v>
      </c>
      <c r="B48" s="1428" t="s">
        <v>251</v>
      </c>
      <c r="C48" s="1428" t="s">
        <v>252</v>
      </c>
      <c r="D48" s="1428" t="s">
        <v>511</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250</v>
      </c>
      <c r="B49" s="1428" t="s">
        <v>251</v>
      </c>
      <c r="C49" s="1428" t="s">
        <v>252</v>
      </c>
      <c r="D49" s="1428" t="s">
        <v>511</v>
      </c>
      <c r="E49" s="2324"/>
      <c r="F49" s="2324"/>
      <c r="G49" s="2324"/>
      <c r="H49" s="2324"/>
      <c r="I49" s="2321"/>
      <c r="J49" s="1428"/>
      <c r="K49" s="1428"/>
      <c r="L49" s="1429"/>
      <c r="P49" s="2322"/>
      <c r="Q49" s="1515"/>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250</v>
      </c>
      <c r="B50" s="1428" t="s">
        <v>251</v>
      </c>
      <c r="C50" s="1428" t="s">
        <v>252</v>
      </c>
      <c r="D50" s="1428" t="s">
        <v>511</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250</v>
      </c>
      <c r="B51" s="1408" t="s">
        <v>251</v>
      </c>
      <c r="C51" s="1379"/>
      <c r="D51" s="1379"/>
      <c r="E51" s="2324"/>
      <c r="F51" s="2323"/>
      <c r="G51" s="1379"/>
      <c r="H51" s="1379"/>
      <c r="I51" s="1379"/>
      <c r="J51" s="1379"/>
      <c r="K51" s="1379"/>
      <c r="L51" s="1523"/>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250</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2CEF4-1E0C-F213-0929-0.79A4ADA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796" width="10.140625" hidden="1" customWidth="1"/>
    <col min="4" max="4" style="5796" width="11.8515625" hidden="1" customWidth="1"/>
    <col min="5" max="11" style="5796" width="10.140625" hidden="1" customWidth="1"/>
    <col min="12" max="12" style="6460" width="10.140625" hidden="1" customWidth="1"/>
    <col min="13" max="15" style="6479" width="10.140625" hidden="1" customWidth="1"/>
    <col min="16" max="16" style="4989" width="3.00390625" customWidth="1"/>
    <col min="17" max="17" style="3698" width="3.00390625" customWidth="1"/>
    <col min="18" max="18" style="5766" width="3.00390625" customWidth="1"/>
    <col min="19" max="19" style="6453" width="12.00390625" customWidth="1"/>
    <col min="20" max="20" style="5796" width="31.00390625" customWidth="1"/>
    <col min="21" max="21" style="5796" width="0.140625" customWidth="1"/>
    <col min="22" max="23" style="5796" width="21.7109375" hidden="1" customWidth="1"/>
    <col min="24" max="24" style="5796" width="11.7109375" hidden="1" customWidth="1"/>
    <col min="25" max="25" style="5796" width="3.7109375" hidden="1" customWidth="1"/>
    <col min="26" max="26" style="5796" width="11.7109375" hidden="1" customWidth="1"/>
    <col min="27" max="27" style="5796" width="8.57421875" hidden="1" customWidth="1"/>
    <col min="28" max="28" style="5796" width="27.00390625" customWidth="1"/>
    <col min="29" max="29" style="5796" width="24.57421875" customWidth="1"/>
    <col min="30" max="31" style="5796" width="21.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405</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406</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407</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408</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409</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410</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411</v>
      </c>
      <c r="AM5" s="1689"/>
      <c r="AN5" s="1689" t="str">
        <f>IF(T5="","",T5)</f>
        <v>Источник тепловой энергии  </v>
      </c>
      <c r="AO5" s="1689"/>
      <c r="AP5" s="1689"/>
      <c r="AQ5" s="1696">
        <v>0</v>
      </c>
    </row>
    <row s="5305" customFormat="1" customHeight="1" ht="0.75" hidden="1">
      <c r="A6" s="1440"/>
      <c r="B6" s="1440"/>
      <c r="C6" s="1440"/>
      <c r="D6" s="1440"/>
      <c r="E6" s="2355"/>
      <c r="F6" s="2355"/>
      <c r="G6" s="2355"/>
      <c r="H6" s="2355"/>
      <c r="I6" s="2192">
        <f>S5&amp;".1"</f>
      </c>
      <c r="J6" s="1440"/>
      <c r="K6" s="1440"/>
      <c r="L6" s="1446" t="s">
        <v>412</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5305"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64</v>
      </c>
      <c r="Z8" s="2057"/>
      <c r="AA8" s="2055" t="s">
        <v>64</v>
      </c>
      <c r="AB8" s="2061"/>
      <c r="AC8" s="2062" t="s">
        <v>28</v>
      </c>
      <c r="AD8" s="816"/>
      <c r="AE8" s="1322"/>
      <c r="AF8" s="2020"/>
      <c r="AG8" s="2007" t="s">
        <v>64</v>
      </c>
      <c r="AH8" s="2020"/>
      <c r="AI8" s="2007" t="s">
        <v>64</v>
      </c>
      <c r="AJ8" s="1413"/>
      <c r="AK8" s="2318" t="s">
        <v>474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5305"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5305"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5305"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170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5305"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171</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5305"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172</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64</v>
      </c>
      <c r="AH16" s="1801"/>
      <c r="AI16" s="2031" t="s">
        <v>64</v>
      </c>
      <c r="AQ16" s="1696">
        <v>0</v>
      </c>
    </row>
    <row customHeight="1" ht="14.25" hidden="1">
      <c r="AL17" s="1706"/>
      <c r="AM17" s="1706"/>
      <c r="AN17" s="1706"/>
      <c r="AO17" s="1706"/>
      <c r="AP17" s="1706"/>
      <c r="AQ17" s="1696">
        <v>0</v>
      </c>
    </row>
    <row customHeight="1" ht="14.25" hidden="1">
      <c r="O18" s="1410" t="s">
        <v>423</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5028" customFormat="1" customHeight="1" ht="14.25" hidden="1">
      <c r="A20" s="2036"/>
      <c r="B20" s="2036"/>
      <c r="C20" s="2036"/>
      <c r="D20" s="2036"/>
      <c r="E20" s="2036"/>
      <c r="F20" s="2036"/>
      <c r="G20" s="2036"/>
      <c r="H20" s="2036"/>
      <c r="I20" s="2036"/>
      <c r="J20" s="2036"/>
      <c r="K20" s="2036"/>
      <c r="L20" s="2036"/>
      <c r="M20" s="2037"/>
      <c r="N20" s="2037"/>
      <c r="O20" s="2038" t="s">
        <v>424</v>
      </c>
      <c r="P20" s="1573"/>
      <c r="Q20" s="1575"/>
      <c r="R20" s="1575"/>
      <c r="Y20" s="1572" t="s">
        <v>426</v>
      </c>
      <c r="AA20" s="1572" t="s">
        <v>427</v>
      </c>
      <c r="AC20" s="1572" t="s">
        <v>480</v>
      </c>
      <c r="AG20" s="1572" t="s">
        <v>426</v>
      </c>
      <c r="AI20" s="1572" t="s">
        <v>427</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6339"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УГРЦТ НАО</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6339"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429</v>
      </c>
      <c r="T28" s="2315"/>
      <c r="U28" s="1437"/>
      <c r="V28" s="2329" t="str">
        <f>IF(TITLE_DATE_PR_CHANGE="",IF(TITLE_DATE_PR="","",TITLE_DATE_PR),TITLE_DATE_PR_CHANGE)</f>
        <v>46008.55446759259</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6339"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430</v>
      </c>
      <c r="T29" s="2315"/>
      <c r="U29" s="1437"/>
      <c r="V29" s="2316" t="str">
        <f>IF(TITLE_NUMBER_PR_CHANGE="",IF(TITLE_NUMBER_PR="","",TITLE_NUMBER_PR),TITLE_NUMBER_PR_CHANGE)</f>
        <v>57</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6339"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http://pravo.gov.ru</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6339"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429</v>
      </c>
      <c r="T32" s="2315"/>
      <c r="U32" s="1437"/>
      <c r="V32" s="2329" t="str">
        <f>IF(TITLE_DATE_PR_CHANGE="",IF(TITLE_DATE_PR="","",TITLE_DATE_PR),TITLE_DATE_PR_CHANGE)</f>
        <v>46008.55446759259</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6339"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430</v>
      </c>
      <c r="T33" s="2315"/>
      <c r="U33" s="1437"/>
      <c r="V33" s="2316" t="str">
        <f>IF(TITLE_NUMBER_PR_CHANGE="",IF(TITLE_NUMBER_PR="","",TITLE_NUMBER_PR),TITLE_NUMBER_PR_CHANGE)</f>
        <v>57</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6339"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433</v>
      </c>
      <c r="AB34" s="1707"/>
      <c r="AC34" s="1700"/>
      <c r="AD34" s="1700"/>
      <c r="AE34" s="1700"/>
      <c r="AF34" s="1700"/>
      <c r="AG34" s="1700"/>
      <c r="AH34" s="1700"/>
      <c r="AI34" s="1707" t="s">
        <v>433</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309</v>
      </c>
      <c r="T36" s="2192"/>
      <c r="U36" s="2192"/>
      <c r="V36" s="2192"/>
      <c r="W36" s="2192"/>
      <c r="X36" s="2192"/>
      <c r="Y36" s="2192"/>
      <c r="Z36" s="2192"/>
      <c r="AA36" s="2240"/>
      <c r="AB36" s="2240"/>
      <c r="AC36" s="2240"/>
      <c r="AD36" s="2192"/>
      <c r="AE36" s="2192"/>
      <c r="AF36" s="2192"/>
      <c r="AG36" s="2192"/>
      <c r="AH36" s="2192"/>
      <c r="AI36" s="2192"/>
      <c r="AJ36" s="2192"/>
      <c r="AK36" s="2192" t="s">
        <v>310</v>
      </c>
      <c r="AQ36" s="1696">
        <v>14</v>
      </c>
    </row>
    <row customHeight="1" ht="14.699999999999998">
      <c r="Q37" s="356"/>
      <c r="R37" s="441"/>
      <c r="S37" s="2338" t="s">
        <v>91</v>
      </c>
      <c r="T37" s="2274" t="s">
        <v>512</v>
      </c>
      <c r="U37" s="402"/>
      <c r="V37" s="2340"/>
      <c r="W37" s="2340"/>
      <c r="X37" s="2340"/>
      <c r="Y37" s="2340"/>
      <c r="Z37" s="2340"/>
      <c r="AA37" s="2274" t="s">
        <v>436</v>
      </c>
      <c r="AB37" s="2273" t="s">
        <v>513</v>
      </c>
      <c r="AC37" s="2273" t="s">
        <v>484</v>
      </c>
      <c r="AD37" s="2356" t="s">
        <v>435</v>
      </c>
      <c r="AE37" s="2356"/>
      <c r="AF37" s="2340"/>
      <c r="AG37" s="2340"/>
      <c r="AH37" s="2341"/>
      <c r="AI37" s="2342" t="s">
        <v>436</v>
      </c>
      <c r="AJ37" s="2345" t="s">
        <v>438</v>
      </c>
      <c r="AK37" s="2192"/>
      <c r="AQ37" s="1696">
        <v>14</v>
      </c>
    </row>
    <row customHeight="1" ht="35.699999999999996">
      <c r="Q38" s="356"/>
      <c r="R38" s="441"/>
      <c r="S38" s="2338"/>
      <c r="T38" s="2274"/>
      <c r="U38" s="1096"/>
      <c r="V38" s="2168" t="s">
        <v>487</v>
      </c>
      <c r="W38" s="2192"/>
      <c r="X38" s="2359" t="s">
        <v>442</v>
      </c>
      <c r="Y38" s="2378"/>
      <c r="Z38" s="2378"/>
      <c r="AA38" s="2274"/>
      <c r="AB38" s="2273"/>
      <c r="AC38" s="2273"/>
      <c r="AD38" s="2168" t="s">
        <v>487</v>
      </c>
      <c r="AE38" s="2192"/>
      <c r="AF38" s="2378" t="s">
        <v>442</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443</v>
      </c>
      <c r="F40" s="1375" t="s">
        <v>444</v>
      </c>
      <c r="G40" s="1375" t="s">
        <v>445</v>
      </c>
      <c r="H40" s="1375" t="s">
        <v>446</v>
      </c>
      <c r="I40" s="1375" t="s">
        <v>447</v>
      </c>
      <c r="J40" s="1375" t="s">
        <v>448</v>
      </c>
      <c r="K40" s="1375" t="s">
        <v>449</v>
      </c>
      <c r="L40" s="1375" t="s">
        <v>424</v>
      </c>
      <c r="Q40" s="356"/>
      <c r="R40" s="441"/>
      <c r="S40" s="2338"/>
      <c r="T40" s="2274"/>
      <c r="U40" s="367"/>
      <c r="V40" s="2015" t="s">
        <v>489</v>
      </c>
      <c r="W40" s="2015" t="s">
        <v>490</v>
      </c>
      <c r="X40" s="2003" t="s">
        <v>452</v>
      </c>
      <c r="Y40" s="2335" t="s">
        <v>453</v>
      </c>
      <c r="Z40" s="2385"/>
      <c r="AA40" s="2274"/>
      <c r="AB40" s="2273"/>
      <c r="AC40" s="2273"/>
      <c r="AD40" s="2033" t="s">
        <v>489</v>
      </c>
      <c r="AE40" s="2024" t="s">
        <v>490</v>
      </c>
      <c r="AF40" s="2003" t="s">
        <v>452</v>
      </c>
      <c r="AG40" s="2335" t="s">
        <v>453</v>
      </c>
      <c r="AH40" s="2336"/>
      <c r="AI40" s="2344"/>
      <c r="AJ40" s="2347"/>
      <c r="AK40" s="2192"/>
      <c r="AQ40" s="1696">
        <v>14</v>
      </c>
    </row>
    <row s="4600"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215</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215</v>
      </c>
      <c r="B43" s="1332" t="s">
        <v>216</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406</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407</v>
      </c>
      <c r="AM43" s="1689"/>
      <c r="AN43" s="1689" t="str">
        <f>IF(T43="","",T43)</f>
        <v>Территория действия тарифа</v>
      </c>
      <c r="AO43" s="1689"/>
      <c r="AP43" s="1689"/>
      <c r="AQ43" s="1696">
        <v>21</v>
      </c>
    </row>
    <row customHeight="1" ht="24">
      <c r="A44" s="1332" t="s">
        <v>215</v>
      </c>
      <c r="B44" s="1332" t="s">
        <v>216</v>
      </c>
      <c r="C44" s="1332" t="s">
        <v>217</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408</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409</v>
      </c>
      <c r="AM44" s="1689"/>
      <c r="AN44" s="1689" t="str">
        <f>IF(T44="","",T44)</f>
        <v>Наименование системы теплоснабжения </v>
      </c>
      <c r="AO44" s="1689"/>
      <c r="AP44" s="1689"/>
      <c r="AQ44" s="1696">
        <v>23</v>
      </c>
    </row>
    <row customHeight="1" ht="22.049999999999997">
      <c r="A45" s="1332" t="s">
        <v>215</v>
      </c>
      <c r="B45" s="1332" t="s">
        <v>216</v>
      </c>
      <c r="C45" s="1332" t="s">
        <v>217</v>
      </c>
      <c r="D45" s="1332" t="s">
        <v>218</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410</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411</v>
      </c>
      <c r="AM45" s="1689"/>
      <c r="AN45" s="1689" t="str">
        <f>IF(T45="","",T45)</f>
        <v>Источник тепловой энергии  </v>
      </c>
      <c r="AO45" s="1689"/>
      <c r="AP45" s="1689"/>
      <c r="AQ45" s="1696">
        <v>21</v>
      </c>
    </row>
    <row s="5305" customFormat="1" customHeight="1" ht="0">
      <c r="A46" s="1440" t="s">
        <v>215</v>
      </c>
      <c r="B46" s="1440" t="s">
        <v>216</v>
      </c>
      <c r="C46" s="1440" t="s">
        <v>217</v>
      </c>
      <c r="D46" s="1440" t="s">
        <v>218</v>
      </c>
      <c r="E46" s="2355"/>
      <c r="F46" s="2355"/>
      <c r="G46" s="2355"/>
      <c r="H46" s="2355"/>
      <c r="I46" s="2192" t="str">
        <f>S45&amp;".1"</f>
        <v>....1</v>
      </c>
      <c r="J46" s="1440"/>
      <c r="K46" s="1440"/>
      <c r="L46" s="1446" t="s">
        <v>412</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5305" customFormat="1" customHeight="1" ht="0">
      <c r="A47" s="1440" t="s">
        <v>215</v>
      </c>
      <c r="B47" s="1440" t="s">
        <v>216</v>
      </c>
      <c r="C47" s="1440" t="s">
        <v>217</v>
      </c>
      <c r="D47" s="1440" t="s">
        <v>218</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215</v>
      </c>
      <c r="B48" s="1332" t="s">
        <v>216</v>
      </c>
      <c r="C48" s="1332" t="s">
        <v>217</v>
      </c>
      <c r="D48" s="1332" t="s">
        <v>218</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64</v>
      </c>
      <c r="Z48" s="2020"/>
      <c r="AA48" s="2007" t="s">
        <v>64</v>
      </c>
      <c r="AB48" s="2029"/>
      <c r="AC48" s="2028" t="s">
        <v>28</v>
      </c>
      <c r="AD48" s="816"/>
      <c r="AE48" s="1322"/>
      <c r="AF48" s="2020"/>
      <c r="AG48" s="2007" t="s">
        <v>64</v>
      </c>
      <c r="AH48" s="2020"/>
      <c r="AI48" s="2007" t="s">
        <v>64</v>
      </c>
      <c r="AJ48" s="1413"/>
      <c r="AK48" s="2318" t="s">
        <v>493</v>
      </c>
      <c r="AL48" s="1701">
        <f>STRCHECKDATE(#REF!)</f>
      </c>
      <c r="AM48" s="1689"/>
      <c r="AN48" s="1689" t="str">
        <f>IF(T48="","",T48)</f>
        <v/>
      </c>
      <c r="AO48" s="1689"/>
      <c r="AP48" s="1689"/>
      <c r="AQ48" s="1696">
        <v>21</v>
      </c>
    </row>
    <row customHeight="1" ht="11.549999999999999">
      <c r="A49" s="1332" t="s">
        <v>215</v>
      </c>
      <c r="B49" s="1332" t="s">
        <v>216</v>
      </c>
      <c r="C49" s="1332" t="s">
        <v>217</v>
      </c>
      <c r="D49" s="1332" t="s">
        <v>218</v>
      </c>
      <c r="E49" s="2355"/>
      <c r="F49" s="2355"/>
      <c r="G49" s="2355"/>
      <c r="H49" s="2355"/>
      <c r="I49" s="2166"/>
      <c r="J49" s="2192"/>
      <c r="K49" s="1332"/>
      <c r="L49" s="1375"/>
      <c r="P49" s="2322"/>
      <c r="Q49" s="2322"/>
      <c r="R49" s="421"/>
      <c r="S49" s="1343"/>
      <c r="T49" s="352" t="s">
        <v>478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5305" customFormat="1" customHeight="1" ht="1.05">
      <c r="A50" s="1440" t="s">
        <v>215</v>
      </c>
      <c r="B50" s="1440" t="s">
        <v>216</v>
      </c>
      <c r="C50" s="1440" t="s">
        <v>217</v>
      </c>
      <c r="D50" s="1440" t="s">
        <v>218</v>
      </c>
      <c r="E50" s="2355"/>
      <c r="F50" s="2355"/>
      <c r="G50" s="2355"/>
      <c r="H50" s="2355"/>
      <c r="I50" s="2192"/>
      <c r="J50" s="1440"/>
      <c r="K50" s="1440"/>
      <c r="L50" s="1446"/>
      <c r="M50" s="1311"/>
      <c r="N50" s="1311"/>
      <c r="O50" s="1311"/>
      <c r="P50" s="2322"/>
      <c r="Q50" s="2019"/>
      <c r="R50" s="421"/>
      <c r="S50" s="1451"/>
      <c r="T50" s="1452" t="s">
        <v>421</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4600" customFormat="1" customHeight="1" ht="1.05">
      <c r="A51" s="1440" t="s">
        <v>215</v>
      </c>
      <c r="B51" s="1440" t="s">
        <v>216</v>
      </c>
      <c r="C51" s="1440" t="s">
        <v>217</v>
      </c>
      <c r="D51" s="1440" t="s">
        <v>218</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5305" customFormat="1" customHeight="1" ht="1.05">
      <c r="A52" s="1440" t="s">
        <v>215</v>
      </c>
      <c r="B52" s="1440" t="s">
        <v>216</v>
      </c>
      <c r="C52" s="1440" t="s">
        <v>217</v>
      </c>
      <c r="D52" s="1439"/>
      <c r="E52" s="2355"/>
      <c r="F52" s="2355"/>
      <c r="G52" s="2354"/>
      <c r="H52" s="1439"/>
      <c r="I52" s="1439"/>
      <c r="J52" s="1439"/>
      <c r="K52" s="1439"/>
      <c r="L52" s="1442"/>
      <c r="M52" s="1443"/>
      <c r="N52" s="1443"/>
      <c r="O52" s="416"/>
      <c r="P52" s="1381"/>
      <c r="Q52" s="1382"/>
      <c r="R52" s="1381"/>
      <c r="S52" s="1387"/>
      <c r="T52" s="1390" t="s">
        <v>170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5305" customFormat="1" customHeight="1" ht="1.05">
      <c r="A53" s="1440" t="s">
        <v>215</v>
      </c>
      <c r="B53" s="1440" t="s">
        <v>216</v>
      </c>
      <c r="C53" s="1439"/>
      <c r="D53" s="1439"/>
      <c r="E53" s="2355"/>
      <c r="F53" s="2354"/>
      <c r="G53" s="1439"/>
      <c r="H53" s="1439"/>
      <c r="I53" s="1439"/>
      <c r="J53" s="1439"/>
      <c r="K53" s="1439"/>
      <c r="L53" s="1442"/>
      <c r="M53" s="1444"/>
      <c r="N53" s="1444"/>
      <c r="O53" s="41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5305" customFormat="1" customHeight="1" ht="1.05">
      <c r="A54" s="1440" t="s">
        <v>215</v>
      </c>
      <c r="B54" s="1440"/>
      <c r="C54" s="1440"/>
      <c r="D54" s="1440"/>
      <c r="E54" s="2355"/>
      <c r="F54" s="1440"/>
      <c r="G54" s="1440"/>
      <c r="H54" s="1440"/>
      <c r="I54" s="1440"/>
      <c r="J54" s="1440"/>
      <c r="K54" s="1440"/>
      <c r="L54" s="1446"/>
      <c r="M54" s="1444"/>
      <c r="N54" s="1444"/>
      <c r="O54" s="416"/>
      <c r="P54" s="445"/>
      <c r="Q54" s="1409"/>
      <c r="R54" s="445"/>
      <c r="S54" s="1387"/>
      <c r="T54" s="1390" t="s">
        <v>172</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5305" customFormat="1" customHeight="1" ht="1.05">
      <c r="A55" s="1440" t="s">
        <v>215</v>
      </c>
      <c r="B55" s="1440"/>
      <c r="C55" s="1440"/>
      <c r="D55" s="1440"/>
      <c r="E55" s="2354"/>
      <c r="F55" s="1440"/>
      <c r="G55" s="1440"/>
      <c r="H55" s="1440"/>
      <c r="I55" s="1440"/>
      <c r="J55" s="1440"/>
      <c r="K55" s="1440"/>
      <c r="L55" s="1446"/>
      <c r="M55" s="1444"/>
      <c r="N55" s="1444"/>
      <c r="O55" s="416"/>
      <c r="P55" s="445"/>
      <c r="Q55" s="1409"/>
      <c r="R55" s="445"/>
      <c r="S55" s="1387"/>
      <c r="T55" s="1390" t="s">
        <v>172</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5305"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173</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C9904-8101-0B67-EF77-0.F7ECF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45" width="11.57421875" hidden="1" customWidth="1"/>
    <col min="2" max="2" style="5745" width="11.00390625" hidden="1" customWidth="1"/>
    <col min="3" max="3" style="5745" width="10.57421875" hidden="1"/>
    <col min="4" max="4" style="5745" width="12.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4989" width="3.7109375" hidden="1" customWidth="1"/>
    <col min="17" max="17" style="3698" width="3.7109375" hidden="1" customWidth="1"/>
    <col min="18" max="18" style="5766" width="3.00390625" customWidth="1"/>
    <col min="19" max="19" style="6453" width="12.00390625" customWidth="1"/>
    <col min="20" max="20" style="5796" width="31.00390625" customWidth="1"/>
    <col min="21" max="21" style="5796" width="0.140625" customWidth="1"/>
    <col min="22" max="25" style="5796" width="21.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3.7109375" customWidth="1"/>
    <col min="31" max="32" style="5796" width="3.00390625" customWidth="1"/>
    <col min="33" max="33" style="5796" width="24.00390625" customWidth="1"/>
    <col min="34" max="34" style="5796" width="3.7109375" customWidth="1"/>
    <col min="35" max="36" style="5796" width="3.00390625" customWidth="1"/>
    <col min="37" max="37" style="5796" width="24.00390625" customWidth="1"/>
    <col min="38" max="38" style="5796" width="3.7109375" customWidth="1"/>
    <col min="39" max="40" style="5796" width="3.00390625" customWidth="1"/>
    <col min="41" max="41" style="5796" width="18.00390625" customWidth="1"/>
    <col min="42" max="42" style="5796" width="3.7109375" customWidth="1"/>
    <col min="43" max="44" style="5796" width="3.00390625" customWidth="1"/>
    <col min="45" max="45" style="5796" width="18.00390625" customWidth="1"/>
    <col min="46" max="49" style="5796" width="21.00390625" customWidth="1"/>
    <col min="50" max="50" style="5796" width="11.00390625" customWidth="1"/>
    <col min="51" max="51" style="5796" width="3.7109375" customWidth="1"/>
    <col min="52" max="52" style="5796" width="11.00390625" customWidth="1"/>
    <col min="53" max="53" style="5796" width="8.57421875" hidden="1" customWidth="1"/>
    <col min="54" max="54" style="5796" width="4.00390625" customWidth="1"/>
    <col min="55" max="55" style="5796" width="115.00390625" customWidth="1"/>
    <col min="56" max="60" style="5305" width="10.00390625" customWidth="1"/>
    <col min="61" max="61" style="5796"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406</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407</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495</v>
      </c>
      <c r="BE4" s="565"/>
      <c r="BF4" s="565" t="str">
        <f>IF(T4="","",T4)</f>
        <v>Наименование централизованной системы холодного водоснабжения</v>
      </c>
      <c r="BG4" s="565"/>
      <c r="BH4" s="565"/>
      <c r="BI4" s="1220">
        <v>0</v>
      </c>
    </row>
    <row s="5305"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411</v>
      </c>
      <c r="BE5" s="565"/>
      <c r="BF5" s="565" t="str">
        <f>IF(T5="","",T5)</f>
        <v/>
      </c>
      <c r="BG5" s="565"/>
      <c r="BH5" s="565"/>
      <c r="BI5" s="576">
        <v>0</v>
      </c>
    </row>
    <row s="5305" customFormat="1" customHeight="1" ht="14.25" hidden="1">
      <c r="A6" s="1408"/>
      <c r="B6" s="1408"/>
      <c r="C6" s="1408"/>
      <c r="D6" s="1408"/>
      <c r="E6" s="2324"/>
      <c r="F6" s="2324"/>
      <c r="G6" s="2324"/>
      <c r="H6" s="2324"/>
      <c r="I6" s="2321" t="str">
        <f>S5&amp;".1"</f>
        <v>.1</v>
      </c>
      <c r="J6" s="1408"/>
      <c r="K6" s="1408"/>
      <c r="L6" s="1411" t="s">
        <v>412</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5305"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64</v>
      </c>
      <c r="AB8" s="1799"/>
      <c r="AC8" s="1524" t="s">
        <v>64</v>
      </c>
      <c r="AD8" s="2250" t="s">
        <v>64</v>
      </c>
      <c r="AE8" s="2391"/>
      <c r="AF8" s="2270">
        <v>1</v>
      </c>
      <c r="AG8" s="2428"/>
      <c r="AH8" s="2172" t="s">
        <v>64</v>
      </c>
      <c r="AI8" s="2391"/>
      <c r="AJ8" s="2270">
        <v>1</v>
      </c>
      <c r="AK8" s="2392" t="s">
        <v>28</v>
      </c>
      <c r="AL8" s="2172" t="s">
        <v>64</v>
      </c>
      <c r="AM8" s="2257"/>
      <c r="AN8" s="2270">
        <v>1</v>
      </c>
      <c r="AO8" s="2422"/>
      <c r="AP8" s="2423" t="s">
        <v>64</v>
      </c>
      <c r="AQ8" s="376"/>
      <c r="AR8" s="1528">
        <v>1</v>
      </c>
      <c r="AS8" s="1531" t="s">
        <v>28</v>
      </c>
      <c r="AT8" s="816"/>
      <c r="AU8" s="1322"/>
      <c r="AV8" s="816"/>
      <c r="AW8" s="1322"/>
      <c r="AX8" s="1799"/>
      <c r="AY8" s="1524" t="s">
        <v>64</v>
      </c>
      <c r="AZ8" s="1799"/>
      <c r="BA8" s="1524" t="s">
        <v>64</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5305"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5305"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5305"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5305"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171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5305"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64</v>
      </c>
      <c r="AZ20" s="1801"/>
      <c r="BA20" s="1525" t="s">
        <v>64</v>
      </c>
      <c r="BI20" s="1220">
        <v>0</v>
      </c>
    </row>
    <row customHeight="1" ht="14.25" hidden="1">
      <c r="BD21" s="561"/>
      <c r="BE21" s="561"/>
      <c r="BF21" s="561"/>
      <c r="BG21" s="561"/>
      <c r="BH21" s="561"/>
      <c r="BI21" s="1220">
        <v>0</v>
      </c>
    </row>
    <row customHeight="1" ht="14.25" hidden="1">
      <c r="O22" s="1432" t="s">
        <v>423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5028" customFormat="1" customHeight="1" ht="14.25" hidden="1">
      <c r="M24" s="1573"/>
      <c r="N24" s="1573"/>
      <c r="O24" s="1574" t="s">
        <v>424</v>
      </c>
      <c r="P24" s="1573"/>
      <c r="Q24" s="1575"/>
      <c r="R24" s="1575"/>
      <c r="AA24" s="1572" t="s">
        <v>426</v>
      </c>
      <c r="AC24" s="1572" t="s">
        <v>427</v>
      </c>
      <c r="AD24" s="1572" t="s">
        <v>479</v>
      </c>
      <c r="AH24" s="1572" t="s">
        <v>479</v>
      </c>
      <c r="AK24" s="1572" t="s">
        <v>519</v>
      </c>
      <c r="AL24" s="1572" t="s">
        <v>479</v>
      </c>
      <c r="AP24" s="1572" t="s">
        <v>479</v>
      </c>
      <c r="AY24" s="1572" t="s">
        <v>426</v>
      </c>
      <c r="BA24" s="1572" t="s">
        <v>427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Нарьян-Марское МУ ПОКиТС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6339"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УГРЦТ НАО</v>
      </c>
      <c r="W31" s="2316"/>
      <c r="X31" s="2316"/>
      <c r="Y31" s="2316"/>
      <c r="Z31" s="2316"/>
      <c r="AA31" s="2316"/>
      <c r="AB31" s="2316"/>
      <c r="AC31" s="391"/>
      <c r="AD31" s="2316" t="str">
        <f>IF(TITLE_NAME_OR_PR_CHANGE="",IF(TITLE_NAME_OR_PR="","",TITLE_NAME_OR_PR),TITLE_NAME_OR_PR_CHANGE)</f>
        <v>УГРЦТ НАО</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6339" customFormat="1" customHeight="1" ht="18.75">
      <c r="A32" s="1433"/>
      <c r="B32" s="1433"/>
      <c r="C32" s="1433"/>
      <c r="D32" s="1433"/>
      <c r="E32" s="1433"/>
      <c r="F32" s="1433"/>
      <c r="G32" s="1433"/>
      <c r="H32" s="1433"/>
      <c r="I32" s="1433"/>
      <c r="J32" s="1433"/>
      <c r="K32" s="1433"/>
      <c r="L32" s="1434"/>
      <c r="M32" s="1433"/>
      <c r="N32" s="1433"/>
      <c r="O32" s="1433"/>
      <c r="P32" s="1433"/>
      <c r="Q32" s="1433"/>
      <c r="S32" s="2315" t="s">
        <v>429</v>
      </c>
      <c r="T32" s="2315"/>
      <c r="U32" s="1437"/>
      <c r="V32" s="2329" t="str">
        <f>IF(TITLE_DATE_PR_CHANGE="",IF(TITLE_DATE_PR="","",TITLE_DATE_PR),TITLE_DATE_PR_CHANGE)</f>
        <v>46008.55446759259</v>
      </c>
      <c r="W32" s="2329"/>
      <c r="X32" s="2329"/>
      <c r="Y32" s="2329"/>
      <c r="Z32" s="2329"/>
      <c r="AA32" s="2329"/>
      <c r="AB32" s="2329"/>
      <c r="AC32" s="391"/>
      <c r="AD32" s="2329" t="str">
        <f>IF(TITLE_DATE_PR_CHANGE="",IF(TITLE_DATE_PR="","",TITLE_DATE_PR),TITLE_DATE_PR_CHANGE)</f>
        <v>46008.55446759259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6339" customFormat="1" customHeight="1" ht="18.75">
      <c r="A33" s="1433"/>
      <c r="B33" s="1433"/>
      <c r="C33" s="1433"/>
      <c r="D33" s="1433"/>
      <c r="E33" s="1433"/>
      <c r="F33" s="1433"/>
      <c r="G33" s="1433"/>
      <c r="H33" s="1433"/>
      <c r="I33" s="1433"/>
      <c r="J33" s="1433"/>
      <c r="K33" s="1433"/>
      <c r="L33" s="1434"/>
      <c r="M33" s="1433"/>
      <c r="N33" s="1433"/>
      <c r="O33" s="1433"/>
      <c r="P33" s="1433"/>
      <c r="Q33" s="1433"/>
      <c r="S33" s="2315" t="s">
        <v>430</v>
      </c>
      <c r="T33" s="2315"/>
      <c r="U33" s="1437"/>
      <c r="V33" s="2316" t="str">
        <f>IF(TITLE_NUMBER_PR_CHANGE="",IF(TITLE_NUMBER_PR="","",TITLE_NUMBER_PR),TITLE_NUMBER_PR_CHANGE)</f>
        <v>57</v>
      </c>
      <c r="W33" s="2316"/>
      <c r="X33" s="2316"/>
      <c r="Y33" s="2316"/>
      <c r="Z33" s="2316"/>
      <c r="AA33" s="2316"/>
      <c r="AB33" s="2316"/>
      <c r="AC33" s="391"/>
      <c r="AD33" s="2316" t="str">
        <f>IF(TITLE_NUMBER_PR_CHANGE="",IF(TITLE_NUMBER_PR="","",TITLE_NUMBER_PR),TITLE_NUMBER_PR_CHANGE)</f>
        <v>57</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6339"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http://pravo.gov.ru</v>
      </c>
      <c r="W34" s="2316"/>
      <c r="X34" s="2316"/>
      <c r="Y34" s="2316"/>
      <c r="Z34" s="2316"/>
      <c r="AA34" s="2316"/>
      <c r="AB34" s="2316"/>
      <c r="AC34" s="391"/>
      <c r="AD34" s="2316" t="str">
        <f>IF(TITLE_IST_PUB_CHANGE="",IF(TITLE_IST_PUB="","",TITLE_IST_PUB),TITLE_IST_PUB_CHANGE)</f>
        <v>http://pravo.gov.ru</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633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429</v>
      </c>
      <c r="T36" s="2315"/>
      <c r="U36" s="1437"/>
      <c r="V36" s="2329" t="str">
        <f>IF(TITLE_DATE_PR_CHANGE="",IF(TITLE_DATE_PR="","",TITLE_DATE_PR),TITLE_DATE_PR_CHANGE)</f>
        <v>46008.55446759259</v>
      </c>
      <c r="W36" s="2329"/>
      <c r="X36" s="2329"/>
      <c r="Y36" s="2329"/>
      <c r="Z36" s="2329"/>
      <c r="AA36" s="2329"/>
      <c r="AB36" s="2329"/>
      <c r="AC36" s="391"/>
      <c r="AD36" s="2329" t="str">
        <f>IF(TITLE_DATE_PR_CHANGE="",IF(TITLE_DATE_PR="","",TITLE_DATE_PR),TITLE_DATE_PR_CHANGE)</f>
        <v>46008.55446759259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633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430</v>
      </c>
      <c r="T37" s="2315"/>
      <c r="U37" s="1437"/>
      <c r="V37" s="2316" t="str">
        <f>IF(TITLE_NUMBER_PR_CHANGE="",IF(TITLE_NUMBER_PR="","",TITLE_NUMBER_PR),TITLE_NUMBER_PR_CHANGE)</f>
        <v>57</v>
      </c>
      <c r="W37" s="2316"/>
      <c r="X37" s="2316"/>
      <c r="Y37" s="2316"/>
      <c r="Z37" s="2316"/>
      <c r="AA37" s="2316"/>
      <c r="AB37" s="2316"/>
      <c r="AC37" s="391"/>
      <c r="AD37" s="2316" t="str">
        <f>IF(TITLE_NUMBER_PR_CHANGE="",IF(TITLE_NUMBER_PR="","",TITLE_NUMBER_PR),TITLE_NUMBER_PR_CHANGE)</f>
        <v>57</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633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309</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310</v>
      </c>
      <c r="BI40" s="1220">
        <v>14</v>
      </c>
    </row>
    <row customHeight="1" ht="14.699999999999998">
      <c r="Q41" s="356"/>
      <c r="R41" s="441"/>
      <c r="S41" s="2338" t="s">
        <v>91</v>
      </c>
      <c r="T41" s="2274" t="s">
        <v>520</v>
      </c>
      <c r="U41" s="366"/>
      <c r="V41" s="2339" t="s">
        <v>435</v>
      </c>
      <c r="W41" s="2340"/>
      <c r="X41" s="2340"/>
      <c r="Y41" s="2340"/>
      <c r="Z41" s="2340"/>
      <c r="AA41" s="2340"/>
      <c r="AB41" s="2341"/>
      <c r="AC41" s="2342" t="s">
        <v>436</v>
      </c>
      <c r="AD41" s="2393" t="s">
        <v>521</v>
      </c>
      <c r="AE41" s="2356"/>
      <c r="AF41" s="2356"/>
      <c r="AG41" s="2394"/>
      <c r="AH41" s="2393" t="s">
        <v>522</v>
      </c>
      <c r="AI41" s="2356"/>
      <c r="AJ41" s="2356"/>
      <c r="AK41" s="2394"/>
      <c r="AL41" s="2393" t="s">
        <v>523</v>
      </c>
      <c r="AM41" s="2356"/>
      <c r="AN41" s="2356"/>
      <c r="AO41" s="2394"/>
      <c r="AP41" s="2393" t="s">
        <v>524</v>
      </c>
      <c r="AQ41" s="2356"/>
      <c r="AR41" s="2356"/>
      <c r="AS41" s="2394"/>
      <c r="AT41" s="2339" t="s">
        <v>435</v>
      </c>
      <c r="AU41" s="2340"/>
      <c r="AV41" s="2340"/>
      <c r="AW41" s="2340"/>
      <c r="AX41" s="2340"/>
      <c r="AY41" s="2340"/>
      <c r="AZ41" s="2341"/>
      <c r="BA41" s="2342" t="s">
        <v>436</v>
      </c>
      <c r="BB41" s="2345" t="s">
        <v>438</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443</v>
      </c>
      <c r="F44" s="1429" t="s">
        <v>444</v>
      </c>
      <c r="G44" s="1429" t="s">
        <v>445</v>
      </c>
      <c r="H44" s="1429" t="s">
        <v>446</v>
      </c>
      <c r="I44" s="1429" t="s">
        <v>447</v>
      </c>
      <c r="J44" s="1429" t="s">
        <v>448</v>
      </c>
      <c r="K44" s="1429" t="s">
        <v>449</v>
      </c>
      <c r="L44" s="1429" t="s">
        <v>424</v>
      </c>
      <c r="Q44" s="356"/>
      <c r="R44" s="441"/>
      <c r="S44" s="2338"/>
      <c r="T44" s="2274"/>
      <c r="U44" s="367"/>
      <c r="V44" s="1513" t="s">
        <v>489</v>
      </c>
      <c r="W44" s="1513" t="s">
        <v>490</v>
      </c>
      <c r="X44" s="1513" t="s">
        <v>489</v>
      </c>
      <c r="Y44" s="1513" t="s">
        <v>490</v>
      </c>
      <c r="Z44" s="1520" t="s">
        <v>452</v>
      </c>
      <c r="AA44" s="2335" t="s">
        <v>453</v>
      </c>
      <c r="AB44" s="2336"/>
      <c r="AC44" s="2344"/>
      <c r="AD44" s="2398"/>
      <c r="AE44" s="2399"/>
      <c r="AF44" s="2399"/>
      <c r="AG44" s="2400"/>
      <c r="AH44" s="2398"/>
      <c r="AI44" s="2399"/>
      <c r="AJ44" s="2399"/>
      <c r="AK44" s="2400"/>
      <c r="AL44" s="2398"/>
      <c r="AM44" s="2399"/>
      <c r="AN44" s="2399"/>
      <c r="AO44" s="2400"/>
      <c r="AP44" s="2398"/>
      <c r="AQ44" s="2399"/>
      <c r="AR44" s="2399"/>
      <c r="AS44" s="2400"/>
      <c r="AT44" s="1513" t="s">
        <v>489</v>
      </c>
      <c r="AU44" s="1513" t="s">
        <v>490</v>
      </c>
      <c r="AV44" s="1513" t="s">
        <v>489</v>
      </c>
      <c r="AW44" s="1513" t="s">
        <v>490</v>
      </c>
      <c r="AX44" s="1520" t="s">
        <v>452</v>
      </c>
      <c r="AY44" s="2335" t="s">
        <v>453</v>
      </c>
      <c r="AZ44" s="2336"/>
      <c r="BA44" s="2344"/>
      <c r="BB44" s="2347"/>
      <c r="BC44" s="2192"/>
      <c r="BI44" s="1220">
        <v>14</v>
      </c>
    </row>
    <row s="4600"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255</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255</v>
      </c>
      <c r="B47" s="1428" t="s">
        <v>256</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406</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407</v>
      </c>
      <c r="BE47" s="565"/>
      <c r="BF47" s="565" t="str">
        <f>IF(T47="","",T47)</f>
        <v>Территория действия тарифа</v>
      </c>
      <c r="BG47" s="565"/>
      <c r="BH47" s="565"/>
      <c r="BI47" s="1220">
        <v>21</v>
      </c>
    </row>
    <row customHeight="1" ht="43.050000000000004">
      <c r="A48" s="1428" t="s">
        <v>255</v>
      </c>
      <c r="B48" s="1428" t="s">
        <v>256</v>
      </c>
      <c r="C48" s="1428" t="s">
        <v>257</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495</v>
      </c>
      <c r="BE48" s="565"/>
      <c r="BF48" s="565" t="str">
        <f>IF(T48="","",T48)</f>
        <v>Наименование централизованной системы холодного водоснабжения</v>
      </c>
      <c r="BG48" s="565"/>
      <c r="BH48" s="565"/>
      <c r="BI48" s="1220">
        <v>41</v>
      </c>
    </row>
    <row s="5305" customFormat="1" customHeight="1" ht="0">
      <c r="A49" s="1408" t="s">
        <v>255</v>
      </c>
      <c r="B49" s="1408" t="s">
        <v>256</v>
      </c>
      <c r="C49" s="1408" t="s">
        <v>257</v>
      </c>
      <c r="D49" s="1408" t="s">
        <v>528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411</v>
      </c>
      <c r="BE49" s="565"/>
      <c r="BF49" s="565" t="str">
        <f>IF(T49="","",T49)</f>
        <v/>
      </c>
      <c r="BG49" s="565"/>
      <c r="BH49" s="565"/>
      <c r="BI49" s="576">
        <v>0</v>
      </c>
    </row>
    <row s="5305" customFormat="1" customHeight="1" ht="0">
      <c r="A50" s="1408" t="s">
        <v>255</v>
      </c>
      <c r="B50" s="1408" t="s">
        <v>256</v>
      </c>
      <c r="C50" s="1408" t="s">
        <v>257</v>
      </c>
      <c r="D50" s="1408" t="s">
        <v>528</v>
      </c>
      <c r="E50" s="2324"/>
      <c r="F50" s="2324"/>
      <c r="G50" s="2324"/>
      <c r="H50" s="2324"/>
      <c r="I50" s="2321" t="str">
        <f>S49&amp;".1"</f>
        <v>.1</v>
      </c>
      <c r="J50" s="1408"/>
      <c r="K50" s="1408"/>
      <c r="L50" s="1411" t="s">
        <v>412</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5305" customFormat="1" customHeight="1" ht="0">
      <c r="A51" s="1408" t="s">
        <v>255</v>
      </c>
      <c r="B51" s="1408" t="s">
        <v>256</v>
      </c>
      <c r="C51" s="1408" t="s">
        <v>257</v>
      </c>
      <c r="D51" s="1408" t="s">
        <v>528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255</v>
      </c>
      <c r="B52" s="1428" t="s">
        <v>256</v>
      </c>
      <c r="C52" s="1428" t="s">
        <v>257</v>
      </c>
      <c r="D52" s="1428" t="s">
        <v>528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64</v>
      </c>
      <c r="AB52" s="1799"/>
      <c r="AC52" s="152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28">
        <v>1</v>
      </c>
      <c r="AS52" s="1531" t="s">
        <v>28</v>
      </c>
      <c r="AT52" s="816"/>
      <c r="AU52" s="1322"/>
      <c r="AV52" s="816"/>
      <c r="AW52" s="1322"/>
      <c r="AX52" s="1799"/>
      <c r="AY52" s="1524" t="s">
        <v>64</v>
      </c>
      <c r="AZ52" s="1799"/>
      <c r="BA52" s="1524" t="s">
        <v>64</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255</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255</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255</v>
      </c>
      <c r="B56" s="1428" t="s">
        <v>256</v>
      </c>
      <c r="C56" s="1428" t="s">
        <v>257</v>
      </c>
      <c r="D56" s="1428" t="s">
        <v>528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255</v>
      </c>
      <c r="B57" s="1428" t="s">
        <v>256</v>
      </c>
      <c r="C57" s="1428" t="s">
        <v>257</v>
      </c>
      <c r="D57" s="1428" t="s">
        <v>528</v>
      </c>
      <c r="E57" s="2324"/>
      <c r="F57" s="2324"/>
      <c r="G57" s="2324"/>
      <c r="H57" s="2324"/>
      <c r="I57" s="2351"/>
      <c r="J57" s="2321"/>
      <c r="K57" s="1428"/>
      <c r="L57" s="1429"/>
      <c r="P57" s="2322"/>
      <c r="Q57" s="2322"/>
      <c r="R57" s="421"/>
      <c r="S57" s="1343"/>
      <c r="T57" s="352" t="s">
        <v>478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5305" customFormat="1" customHeight="1" ht="0">
      <c r="A58" s="1408" t="s">
        <v>255</v>
      </c>
      <c r="B58" s="1408" t="s">
        <v>256</v>
      </c>
      <c r="C58" s="1408" t="s">
        <v>257</v>
      </c>
      <c r="D58" s="1408" t="s">
        <v>528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5305" customFormat="1" customHeight="1" ht="0">
      <c r="A59" s="1408" t="s">
        <v>255</v>
      </c>
      <c r="B59" s="1408" t="s">
        <v>256</v>
      </c>
      <c r="C59" s="1408" t="s">
        <v>257</v>
      </c>
      <c r="D59" s="1408" t="s">
        <v>528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5305" customFormat="1" customHeight="1" ht="0">
      <c r="A60" s="1408" t="s">
        <v>255</v>
      </c>
      <c r="B60" s="1408" t="s">
        <v>256</v>
      </c>
      <c r="C60" s="1408" t="s">
        <v>257</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5305" customFormat="1" customHeight="1" ht="0">
      <c r="A61" s="1408" t="s">
        <v>255</v>
      </c>
      <c r="B61" s="1408" t="s">
        <v>256</v>
      </c>
      <c r="C61" s="1379"/>
      <c r="D61" s="1379"/>
      <c r="E61" s="2324"/>
      <c r="F61" s="2323"/>
      <c r="G61" s="1379"/>
      <c r="H61" s="1379"/>
      <c r="I61" s="1379"/>
      <c r="J61" s="1379"/>
      <c r="K61" s="1379"/>
      <c r="L61" s="1529"/>
      <c r="M61" s="1386"/>
      <c r="N61" s="1386"/>
      <c r="P61" s="1381"/>
      <c r="Q61" s="1382"/>
      <c r="R61" s="1381"/>
      <c r="S61" s="1387"/>
      <c r="T61" s="1390" t="s">
        <v>171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5305" customFormat="1" customHeight="1" ht="0">
      <c r="A62" s="1408" t="s">
        <v>255</v>
      </c>
      <c r="B62" s="1408"/>
      <c r="C62" s="1408"/>
      <c r="D62" s="1408"/>
      <c r="E62" s="2323"/>
      <c r="F62" s="1408"/>
      <c r="G62" s="1408"/>
      <c r="H62" s="1408"/>
      <c r="I62" s="1408"/>
      <c r="J62" s="1408"/>
      <c r="K62" s="1408"/>
      <c r="L62" s="1411"/>
      <c r="M62" s="1386"/>
      <c r="N62" s="1386"/>
      <c r="O62" s="583"/>
      <c r="P62" s="445"/>
      <c r="Q62" s="1409"/>
      <c r="R62" s="445"/>
      <c r="S62" s="1387"/>
      <c r="T62" s="1390" t="s">
        <v>172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5305"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173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A080D-33F7-7ADF-7352-0.A1A255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558">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543"/>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543"/>
      <c r="M19" s="1427"/>
      <c r="N19" s="1427"/>
      <c r="O19" s="1427"/>
      <c r="P19" s="1427"/>
      <c r="Q19" s="1436"/>
      <c r="R19" s="1436"/>
      <c r="S19" s="794"/>
      <c r="AB19" s="1431"/>
      <c r="AI19" s="1431"/>
      <c r="AL19" s="576"/>
      <c r="AM19" s="576"/>
      <c r="AN19" s="576"/>
      <c r="AO19" s="576"/>
      <c r="AP19" s="576"/>
      <c r="AQ19" s="1225">
        <v>0</v>
      </c>
    </row>
    <row s="5745" customFormat="1" customHeight="1" ht="12" hidden="1">
      <c r="L20" s="1543"/>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548" t="s">
        <v>502</v>
      </c>
      <c r="W38" s="2327" t="s">
        <v>441</v>
      </c>
      <c r="X38" s="2328"/>
      <c r="Y38" s="2327" t="s">
        <v>442</v>
      </c>
      <c r="Z38" s="2334"/>
      <c r="AA38" s="2328"/>
      <c r="AB38" s="2343"/>
      <c r="AC38" s="1548" t="s">
        <v>502</v>
      </c>
      <c r="AD38" s="2327" t="s">
        <v>441</v>
      </c>
      <c r="AE38" s="2328"/>
      <c r="AF38" s="2327" t="s">
        <v>442</v>
      </c>
      <c r="AG38" s="2334"/>
      <c r="AH38" s="2328"/>
      <c r="AI38" s="2343"/>
      <c r="AJ38" s="2346"/>
      <c r="AK38" s="2192"/>
      <c r="AQ38" s="1220">
        <v>34</v>
      </c>
    </row>
    <row customHeight="1" ht="90.3">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548" t="s">
        <v>531</v>
      </c>
      <c r="W39" s="1287" t="s">
        <v>532</v>
      </c>
      <c r="X39" s="1287" t="s">
        <v>507</v>
      </c>
      <c r="Y39" s="1554" t="s">
        <v>452</v>
      </c>
      <c r="Z39" s="2335" t="s">
        <v>453</v>
      </c>
      <c r="AA39" s="2336"/>
      <c r="AB39" s="2344"/>
      <c r="AC39" s="1548" t="s">
        <v>531</v>
      </c>
      <c r="AD39" s="1287" t="s">
        <v>532</v>
      </c>
      <c r="AE39" s="1287" t="s">
        <v>507</v>
      </c>
      <c r="AF39" s="1554" t="s">
        <v>452</v>
      </c>
      <c r="AG39" s="2335" t="s">
        <v>453</v>
      </c>
      <c r="AH39" s="2336"/>
      <c r="AI39" s="2344"/>
      <c r="AJ39" s="2347"/>
      <c r="AK39" s="2192"/>
      <c r="AQ39" s="1220">
        <v>86</v>
      </c>
    </row>
    <row s="4600"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275</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275</v>
      </c>
      <c r="B42" s="1428" t="s">
        <v>276</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275</v>
      </c>
      <c r="B43" s="1428" t="s">
        <v>276</v>
      </c>
      <c r="C43" s="1428" t="s">
        <v>277</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530</v>
      </c>
      <c r="AM43" s="565"/>
      <c r="AN43" s="565" t="str">
        <f>IF(T43="","",T43)</f>
        <v>Наименование централизованной системы водоотведения</v>
      </c>
      <c r="AO43" s="565"/>
      <c r="AP43" s="565"/>
      <c r="AQ43" s="1220">
        <v>23</v>
      </c>
    </row>
    <row customHeight="1" ht="24">
      <c r="A44" s="1428" t="s">
        <v>275</v>
      </c>
      <c r="B44" s="1428" t="s">
        <v>276</v>
      </c>
      <c r="C44" s="1428" t="s">
        <v>277</v>
      </c>
      <c r="D44" s="1428" t="s">
        <v>533</v>
      </c>
      <c r="E44" s="2324"/>
      <c r="F44" s="2324"/>
      <c r="G44" s="2324"/>
      <c r="H44" s="2324"/>
      <c r="I44" s="2321" t="str">
        <f>S43&amp;".1"</f>
        <v>...1</v>
      </c>
      <c r="J44" s="1428"/>
      <c r="K44" s="1428"/>
      <c r="L44" s="1429"/>
      <c r="P44" s="2322">
        <v>1</v>
      </c>
      <c r="Q44" s="1546"/>
      <c r="R44" s="421"/>
      <c r="S44" s="1558"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275</v>
      </c>
      <c r="B45" s="1428" t="s">
        <v>276</v>
      </c>
      <c r="C45" s="1428" t="s">
        <v>277</v>
      </c>
      <c r="D45" s="1428" t="s">
        <v>533</v>
      </c>
      <c r="E45" s="2324"/>
      <c r="F45" s="2324"/>
      <c r="G45" s="2324"/>
      <c r="H45" s="2324"/>
      <c r="I45" s="2351"/>
      <c r="J45" s="2321" t="str">
        <f>I44&amp;".1"</f>
        <v>...1.1</v>
      </c>
      <c r="K45" s="1428"/>
      <c r="L45" s="1429" t="s">
        <v>415</v>
      </c>
      <c r="P45" s="2322"/>
      <c r="Q45" s="2322">
        <v>1</v>
      </c>
      <c r="R45" s="422"/>
      <c r="S45" s="1558"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275</v>
      </c>
      <c r="B46" s="1428" t="s">
        <v>276</v>
      </c>
      <c r="C46" s="1428" t="s">
        <v>277</v>
      </c>
      <c r="D46" s="1428" t="s">
        <v>533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275</v>
      </c>
      <c r="B47" s="1428" t="s">
        <v>276</v>
      </c>
      <c r="C47" s="1428" t="s">
        <v>277</v>
      </c>
      <c r="D47" s="1428" t="s">
        <v>533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275</v>
      </c>
      <c r="B48" s="1428" t="s">
        <v>276</v>
      </c>
      <c r="C48" s="1428" t="s">
        <v>277</v>
      </c>
      <c r="D48" s="1428" t="s">
        <v>533</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275</v>
      </c>
      <c r="B49" s="1428" t="s">
        <v>276</v>
      </c>
      <c r="C49" s="1428" t="s">
        <v>277</v>
      </c>
      <c r="D49" s="1428" t="s">
        <v>533</v>
      </c>
      <c r="E49" s="2324"/>
      <c r="F49" s="2324"/>
      <c r="G49" s="2324"/>
      <c r="H49" s="2324"/>
      <c r="I49" s="2321"/>
      <c r="J49" s="1428"/>
      <c r="K49" s="1428"/>
      <c r="L49" s="1429"/>
      <c r="P49" s="2322"/>
      <c r="Q49" s="1546"/>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275</v>
      </c>
      <c r="B50" s="1428" t="s">
        <v>276</v>
      </c>
      <c r="C50" s="1428" t="s">
        <v>277</v>
      </c>
      <c r="D50" s="1428" t="s">
        <v>533</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275</v>
      </c>
      <c r="B51" s="1408" t="s">
        <v>276</v>
      </c>
      <c r="C51" s="1379"/>
      <c r="D51" s="1379"/>
      <c r="E51" s="2324"/>
      <c r="F51" s="2323"/>
      <c r="G51" s="1379"/>
      <c r="H51" s="1379"/>
      <c r="I51" s="1379"/>
      <c r="J51" s="1379"/>
      <c r="K51" s="1379"/>
      <c r="L51" s="1559"/>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275</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E8969-8F5D-3783-44E5-0.E38FBF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4" style="5796" width="24.7109375" hidden="1" customWidth="1"/>
    <col min="25" max="25" style="5796" width="11.7109375" hidden="1" customWidth="1"/>
    <col min="26" max="26" style="5796" width="3.7109375" hidden="1" customWidth="1"/>
    <col min="27" max="27" style="5796" width="11.7109375" hidden="1" customWidth="1"/>
    <col min="28" max="28" style="5796" width="8.57421875" hidden="1" customWidth="1"/>
    <col min="29" max="29" style="5796" width="24.7109375" customWidth="1"/>
    <col min="30" max="31" style="5796" width="24.00390625" customWidth="1"/>
    <col min="32" max="32" style="5796" width="11.00390625" customWidth="1"/>
    <col min="33" max="33" style="5796" width="3.7109375" customWidth="1"/>
    <col min="34" max="34" style="5796" width="11.00390625" customWidth="1"/>
    <col min="35" max="35" style="5796" width="8.57421875" hidden="1" customWidth="1"/>
    <col min="36" max="36" style="5796" width="4.00390625" customWidth="1"/>
    <col min="37" max="37" style="5796" width="115.00390625" customWidth="1"/>
    <col min="38" max="42" style="5305" width="10.00390625" customWidth="1"/>
    <col min="43" max="43" style="5796"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406</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407</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415</v>
      </c>
      <c r="P6" s="2322"/>
      <c r="Q6" s="2322">
        <v>1</v>
      </c>
      <c r="R6" s="422"/>
      <c r="S6" s="1558">
        <f>$J6</f>
      </c>
      <c r="T6" s="351" t="s">
        <v>416</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421</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5305"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745" customFormat="1" customHeight="1" ht="22.5" hidden="1">
      <c r="L18" s="1543"/>
      <c r="M18" s="1427"/>
      <c r="N18" s="1427"/>
      <c r="O18" s="1432" t="s">
        <v>423</v>
      </c>
      <c r="P18" s="1427"/>
      <c r="Q18" s="1436"/>
      <c r="R18" s="1436"/>
      <c r="S18" s="794"/>
      <c r="Y18" s="1432"/>
      <c r="AA18" s="1432"/>
      <c r="AB18" s="1431"/>
      <c r="AF18" s="1432"/>
      <c r="AH18" s="1432"/>
      <c r="AI18" s="1431"/>
      <c r="AL18" s="576"/>
      <c r="AM18" s="576"/>
      <c r="AN18" s="576"/>
      <c r="AO18" s="576"/>
      <c r="AP18" s="576"/>
      <c r="AQ18" s="1225">
        <v>0</v>
      </c>
    </row>
    <row s="5745" customFormat="1" customHeight="1" ht="14.25" hidden="1">
      <c r="L19" s="1543"/>
      <c r="M19" s="1427"/>
      <c r="N19" s="1427"/>
      <c r="O19" s="1427"/>
      <c r="P19" s="1427"/>
      <c r="Q19" s="1436"/>
      <c r="R19" s="1436"/>
      <c r="S19" s="794"/>
      <c r="AB19" s="1431"/>
      <c r="AI19" s="1431"/>
      <c r="AL19" s="576"/>
      <c r="AM19" s="576"/>
      <c r="AN19" s="576"/>
      <c r="AO19" s="576"/>
      <c r="AP19" s="576"/>
      <c r="AQ19" s="1225">
        <v>0</v>
      </c>
    </row>
    <row s="5745" customFormat="1" customHeight="1" ht="12" hidden="1">
      <c r="L20" s="1543"/>
      <c r="M20" s="1427"/>
      <c r="N20" s="1427"/>
      <c r="O20" s="1429" t="s">
        <v>424</v>
      </c>
      <c r="P20" s="1427"/>
      <c r="Q20" s="1507"/>
      <c r="R20" s="1507"/>
      <c r="S20" s="794"/>
      <c r="T20" s="1225" t="s">
        <v>425</v>
      </c>
      <c r="Z20" s="251" t="s">
        <v>426</v>
      </c>
      <c r="AB20" s="251" t="s">
        <v>427</v>
      </c>
      <c r="AC20" s="1225" t="s">
        <v>425</v>
      </c>
      <c r="AG20" s="251" t="s">
        <v>428</v>
      </c>
      <c r="AI20" s="251" t="s">
        <v>427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391"/>
      <c r="AC27" s="2316" t="str">
        <f>IF(TITLE_NAME_OR_PR_CHANGE="",IF(TITLE_NAME_OR_PR="","",TITLE_NAME_OR_PR),TITLE_NAME_OR_PR_CHANGE)</f>
        <v>УГРЦТ НАО</v>
      </c>
      <c r="AD27" s="2316"/>
      <c r="AE27" s="2316"/>
      <c r="AF27" s="2316"/>
      <c r="AG27" s="2316"/>
      <c r="AH27" s="2316"/>
      <c r="AI27" s="391"/>
      <c r="AJ27" s="391"/>
      <c r="AK27" s="345"/>
      <c r="AL27" s="433"/>
      <c r="AM27" s="433"/>
      <c r="AN27" s="433"/>
      <c r="AO27" s="433"/>
      <c r="AP27" s="433"/>
      <c r="AQ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391"/>
      <c r="AC28" s="2329" t="str">
        <f>IF(TITLE_DATE_PR_CHANGE="",IF(TITLE_DATE_PR="","",TITLE_DATE_PR),TITLE_DATE_PR_CHANGE)</f>
        <v>46008.55446759259</v>
      </c>
      <c r="AD28" s="2329"/>
      <c r="AE28" s="2329"/>
      <c r="AF28" s="2329"/>
      <c r="AG28" s="2329"/>
      <c r="AH28" s="2329"/>
      <c r="AI28" s="391"/>
      <c r="AJ28" s="391"/>
      <c r="AK28" s="345"/>
      <c r="AL28" s="433"/>
      <c r="AM28" s="433"/>
      <c r="AN28" s="433"/>
      <c r="AO28" s="433"/>
      <c r="AP28" s="433"/>
      <c r="AQ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391"/>
      <c r="AC29" s="2316" t="str">
        <f>IF(TITLE_NUMBER_PR_CHANGE="",IF(TITLE_NUMBER_PR="","",TITLE_NUMBER_PR),TITLE_NUMBER_PR_CHANGE)</f>
        <v>57</v>
      </c>
      <c r="AD29" s="2316"/>
      <c r="AE29" s="2316"/>
      <c r="AF29" s="2316"/>
      <c r="AG29" s="2316"/>
      <c r="AH29" s="2316"/>
      <c r="AI29" s="391"/>
      <c r="AJ29" s="391"/>
      <c r="AK29" s="345"/>
      <c r="AL29" s="433"/>
      <c r="AM29" s="433"/>
      <c r="AN29" s="433"/>
      <c r="AO29" s="433"/>
      <c r="AP29" s="433"/>
      <c r="AQ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391"/>
      <c r="AC30" s="2316" t="str">
        <f>IF(TITLE_IST_PUB_CHANGE="",IF(TITLE_IST_PUB="","",TITLE_IST_PUB),TITLE_IST_PUB_CHANGE)</f>
        <v>http://pravo.gov.ru</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391"/>
      <c r="AC32" s="2329" t="str">
        <f>IF(TITLE_DATE_PR_CHANGE="",IF(TITLE_DATE_PR="","",TITLE_DATE_PR),TITLE_DATE_PR_CHANGE)</f>
        <v>46008.55446759259</v>
      </c>
      <c r="AD32" s="2329"/>
      <c r="AE32" s="2329"/>
      <c r="AF32" s="2329"/>
      <c r="AG32" s="2329"/>
      <c r="AH32" s="2329"/>
      <c r="AI32" s="391"/>
      <c r="AJ32" s="391"/>
      <c r="AK32" s="345"/>
      <c r="AL32" s="433"/>
      <c r="AM32" s="433"/>
      <c r="AN32" s="433"/>
      <c r="AO32" s="433"/>
      <c r="AP32" s="433"/>
      <c r="AQ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391"/>
      <c r="AC33" s="2316" t="str">
        <f>IF(TITLE_NUMBER_PR_CHANGE="",IF(TITLE_NUMBER_PR="","",TITLE_NUMBER_PR),TITLE_NUMBER_PR_CHANGE)</f>
        <v>57</v>
      </c>
      <c r="AD33" s="2316"/>
      <c r="AE33" s="2316"/>
      <c r="AF33" s="2316"/>
      <c r="AG33" s="2316"/>
      <c r="AH33" s="2316"/>
      <c r="AI33" s="391"/>
      <c r="AJ33" s="391"/>
      <c r="AK33" s="345"/>
      <c r="AL33" s="433"/>
      <c r="AM33" s="433"/>
      <c r="AN33" s="433"/>
      <c r="AO33" s="433"/>
      <c r="AP33" s="433"/>
      <c r="AQ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433</v>
      </c>
      <c r="AC34" s="391"/>
      <c r="AD34" s="391"/>
      <c r="AE34" s="391"/>
      <c r="AF34" s="391"/>
      <c r="AG34" s="391"/>
      <c r="AH34" s="391"/>
      <c r="AI34" s="343" t="s">
        <v>433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t="s">
        <v>310</v>
      </c>
      <c r="AQ36" s="1220">
        <v>14</v>
      </c>
    </row>
    <row customHeight="1" ht="14.699999999999998">
      <c r="Q37" s="441"/>
      <c r="R37" s="441"/>
      <c r="S37" s="2338" t="s">
        <v>91</v>
      </c>
      <c r="T37" s="2274" t="s">
        <v>434</v>
      </c>
      <c r="U37" s="366"/>
      <c r="V37" s="2339" t="s">
        <v>435</v>
      </c>
      <c r="W37" s="2340"/>
      <c r="X37" s="2340"/>
      <c r="Y37" s="2340"/>
      <c r="Z37" s="2340"/>
      <c r="AA37" s="2341"/>
      <c r="AB37" s="2342" t="s">
        <v>436</v>
      </c>
      <c r="AC37" s="2339" t="s">
        <v>435</v>
      </c>
      <c r="AD37" s="2340"/>
      <c r="AE37" s="2340"/>
      <c r="AF37" s="2340"/>
      <c r="AG37" s="2340"/>
      <c r="AH37" s="2341"/>
      <c r="AI37" s="2342" t="s">
        <v>437</v>
      </c>
      <c r="AJ37" s="2345" t="s">
        <v>438</v>
      </c>
      <c r="AK37" s="2192"/>
      <c r="AQ37" s="1220">
        <v>14</v>
      </c>
    </row>
    <row customHeight="1" ht="35.699999999999996">
      <c r="Q38" s="441"/>
      <c r="R38" s="441"/>
      <c r="S38" s="2338"/>
      <c r="T38" s="2274"/>
      <c r="U38" s="1096"/>
      <c r="V38" s="1548" t="s">
        <v>502</v>
      </c>
      <c r="W38" s="2327" t="s">
        <v>441</v>
      </c>
      <c r="X38" s="2328"/>
      <c r="Y38" s="2327" t="s">
        <v>442</v>
      </c>
      <c r="Z38" s="2334"/>
      <c r="AA38" s="2328"/>
      <c r="AB38" s="2343"/>
      <c r="AC38" s="1548" t="s">
        <v>502</v>
      </c>
      <c r="AD38" s="2327" t="s">
        <v>441</v>
      </c>
      <c r="AE38" s="2328"/>
      <c r="AF38" s="2327" t="s">
        <v>442</v>
      </c>
      <c r="AG38" s="2334"/>
      <c r="AH38" s="2328"/>
      <c r="AI38" s="2343"/>
      <c r="AJ38" s="2346"/>
      <c r="AK38" s="2192"/>
      <c r="AQ38" s="1220">
        <v>34</v>
      </c>
    </row>
    <row customHeight="1" ht="90.3">
      <c r="A39" s="1435"/>
      <c r="B39" s="1435" t="s">
        <v>138</v>
      </c>
      <c r="C39" s="1435" t="s">
        <v>139</v>
      </c>
      <c r="D39" s="1435" t="s">
        <v>140</v>
      </c>
      <c r="E39" s="1429" t="s">
        <v>443</v>
      </c>
      <c r="F39" s="1429" t="s">
        <v>444</v>
      </c>
      <c r="G39" s="1429" t="s">
        <v>445</v>
      </c>
      <c r="H39" s="1429"/>
      <c r="I39" s="1429" t="s">
        <v>503</v>
      </c>
      <c r="J39" s="1429" t="s">
        <v>448</v>
      </c>
      <c r="K39" s="1429" t="s">
        <v>504</v>
      </c>
      <c r="L39" s="1429" t="s">
        <v>424</v>
      </c>
      <c r="Q39" s="441"/>
      <c r="R39" s="441"/>
      <c r="S39" s="2338"/>
      <c r="T39" s="2274"/>
      <c r="U39" s="367"/>
      <c r="V39" s="1548" t="s">
        <v>531</v>
      </c>
      <c r="W39" s="1287" t="s">
        <v>532</v>
      </c>
      <c r="X39" s="1287" t="s">
        <v>507</v>
      </c>
      <c r="Y39" s="1554" t="s">
        <v>452</v>
      </c>
      <c r="Z39" s="2335" t="s">
        <v>453</v>
      </c>
      <c r="AA39" s="2336"/>
      <c r="AB39" s="2344"/>
      <c r="AC39" s="1548" t="s">
        <v>531</v>
      </c>
      <c r="AD39" s="1287" t="s">
        <v>532</v>
      </c>
      <c r="AE39" s="1287" t="s">
        <v>507</v>
      </c>
      <c r="AF39" s="1554" t="s">
        <v>452</v>
      </c>
      <c r="AG39" s="2335" t="s">
        <v>453</v>
      </c>
      <c r="AH39" s="2336"/>
      <c r="AI39" s="2344"/>
      <c r="AJ39" s="2347"/>
      <c r="AK39" s="2192"/>
      <c r="AQ39" s="1220">
        <v>86</v>
      </c>
    </row>
    <row s="4600"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280</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280</v>
      </c>
      <c r="B42" s="1428" t="s">
        <v>281</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406</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407</v>
      </c>
      <c r="AM42" s="565"/>
      <c r="AN42" s="565" t="str">
        <f>IF(T42="","",T42)</f>
        <v>Территория действия тарифа</v>
      </c>
      <c r="AO42" s="565"/>
      <c r="AP42" s="565"/>
      <c r="AQ42" s="1220">
        <v>23</v>
      </c>
    </row>
    <row customHeight="1" ht="24">
      <c r="A43" s="1428" t="s">
        <v>280</v>
      </c>
      <c r="B43" s="1428" t="s">
        <v>281</v>
      </c>
      <c r="C43" s="1428" t="s">
        <v>282</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530</v>
      </c>
      <c r="AM43" s="565"/>
      <c r="AN43" s="565" t="str">
        <f>IF(T43="","",T43)</f>
        <v>Наименование централизованной системы водоотведения</v>
      </c>
      <c r="AO43" s="565"/>
      <c r="AP43" s="565"/>
      <c r="AQ43" s="1220">
        <v>23</v>
      </c>
    </row>
    <row customHeight="1" ht="24">
      <c r="A44" s="1428" t="s">
        <v>280</v>
      </c>
      <c r="B44" s="1428" t="s">
        <v>281</v>
      </c>
      <c r="C44" s="1428" t="s">
        <v>282</v>
      </c>
      <c r="D44" s="1428" t="s">
        <v>534</v>
      </c>
      <c r="E44" s="2324"/>
      <c r="F44" s="2324"/>
      <c r="G44" s="2324"/>
      <c r="H44" s="2324"/>
      <c r="I44" s="2321" t="str">
        <f>S43&amp;".1"</f>
        <v>...1</v>
      </c>
      <c r="J44" s="1428"/>
      <c r="K44" s="1428"/>
      <c r="L44" s="1429"/>
      <c r="P44" s="2322">
        <v>1</v>
      </c>
      <c r="Q44" s="1546"/>
      <c r="R44" s="421"/>
      <c r="S44" s="1558"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280</v>
      </c>
      <c r="B45" s="1428" t="s">
        <v>281</v>
      </c>
      <c r="C45" s="1428" t="s">
        <v>282</v>
      </c>
      <c r="D45" s="1428" t="s">
        <v>534</v>
      </c>
      <c r="E45" s="2324"/>
      <c r="F45" s="2324"/>
      <c r="G45" s="2324"/>
      <c r="H45" s="2324"/>
      <c r="I45" s="2351"/>
      <c r="J45" s="2321" t="str">
        <f>I44&amp;".1"</f>
        <v>...1.1</v>
      </c>
      <c r="K45" s="1428"/>
      <c r="L45" s="1429" t="s">
        <v>415</v>
      </c>
      <c r="P45" s="2322"/>
      <c r="Q45" s="2322">
        <v>1</v>
      </c>
      <c r="R45" s="422"/>
      <c r="S45" s="1558" t="str">
        <f>$J45</f>
        <v>...1.1</v>
      </c>
      <c r="T45" s="351" t="s">
        <v>416</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280</v>
      </c>
      <c r="B46" s="1428" t="s">
        <v>281</v>
      </c>
      <c r="C46" s="1428" t="s">
        <v>282</v>
      </c>
      <c r="D46" s="1428" t="s">
        <v>534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280</v>
      </c>
      <c r="B47" s="1428" t="s">
        <v>281</v>
      </c>
      <c r="C47" s="1428" t="s">
        <v>282</v>
      </c>
      <c r="D47" s="1428" t="s">
        <v>534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280</v>
      </c>
      <c r="B48" s="1428" t="s">
        <v>281</v>
      </c>
      <c r="C48" s="1428" t="s">
        <v>282</v>
      </c>
      <c r="D48" s="1428" t="s">
        <v>534</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280</v>
      </c>
      <c r="B49" s="1428" t="s">
        <v>281</v>
      </c>
      <c r="C49" s="1428" t="s">
        <v>282</v>
      </c>
      <c r="D49" s="1428" t="s">
        <v>534</v>
      </c>
      <c r="E49" s="2324"/>
      <c r="F49" s="2324"/>
      <c r="G49" s="2324"/>
      <c r="H49" s="2324"/>
      <c r="I49" s="2321"/>
      <c r="J49" s="1428"/>
      <c r="K49" s="1428"/>
      <c r="L49" s="1429"/>
      <c r="P49" s="2322"/>
      <c r="Q49" s="1546"/>
      <c r="R49" s="421"/>
      <c r="S49" s="1343"/>
      <c r="T49" s="430" t="s">
        <v>421</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280</v>
      </c>
      <c r="B50" s="1428" t="s">
        <v>281</v>
      </c>
      <c r="C50" s="1428" t="s">
        <v>282</v>
      </c>
      <c r="D50" s="1428" t="s">
        <v>534</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5305" customFormat="1" customHeight="1" ht="0">
      <c r="A51" s="1408" t="s">
        <v>280</v>
      </c>
      <c r="B51" s="1408" t="s">
        <v>281</v>
      </c>
      <c r="C51" s="1379"/>
      <c r="D51" s="1379"/>
      <c r="E51" s="2324"/>
      <c r="F51" s="2323"/>
      <c r="G51" s="1379"/>
      <c r="H51" s="1379"/>
      <c r="I51" s="1379"/>
      <c r="J51" s="1379"/>
      <c r="K51" s="1379"/>
      <c r="L51" s="1559"/>
      <c r="M51" s="1386"/>
      <c r="N51" s="1386"/>
      <c r="P51" s="1381"/>
      <c r="Q51" s="1382"/>
      <c r="R51" s="1381"/>
      <c r="S51" s="1387"/>
      <c r="T51" s="1390" t="s">
        <v>171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305" customFormat="1" customHeight="1" ht="0">
      <c r="A52" s="1408" t="s">
        <v>280</v>
      </c>
      <c r="B52" s="1408"/>
      <c r="C52" s="1408"/>
      <c r="D52" s="1408"/>
      <c r="E52" s="2323"/>
      <c r="F52" s="1408"/>
      <c r="G52" s="1408"/>
      <c r="H52" s="1408"/>
      <c r="I52" s="1408"/>
      <c r="J52" s="1408"/>
      <c r="K52" s="1408"/>
      <c r="L52" s="1411"/>
      <c r="M52" s="1386"/>
      <c r="N52" s="1386"/>
      <c r="O52" s="583"/>
      <c r="P52" s="445"/>
      <c r="Q52" s="1409"/>
      <c r="R52" s="445"/>
      <c r="S52" s="1387"/>
      <c r="T52" s="1390" t="s">
        <v>172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5305"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76403-3311-FBC8-64FE-0.18A4A5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45" width="11.57421875" hidden="1" customWidth="1"/>
    <col min="2" max="2" style="5745" width="11.00390625" hidden="1" customWidth="1"/>
    <col min="3" max="3" style="5745" width="10.57421875" hidden="1"/>
    <col min="4" max="4" style="5745" width="12.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4989" width="3.7109375" hidden="1" customWidth="1"/>
    <col min="17" max="17" style="3698" width="3.7109375" hidden="1" customWidth="1"/>
    <col min="18" max="18" style="5766" width="3.00390625" customWidth="1"/>
    <col min="19" max="19" style="6453" width="12.00390625" customWidth="1"/>
    <col min="20" max="20" style="5796" width="31.00390625" customWidth="1"/>
    <col min="21" max="21" style="5796" width="0.140625" customWidth="1"/>
    <col min="22" max="25" style="5796" width="21.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3.7109375" customWidth="1"/>
    <col min="31" max="32" style="5796" width="3.00390625" customWidth="1"/>
    <col min="33" max="33" style="5796" width="24.00390625" customWidth="1"/>
    <col min="34" max="34" style="5796" width="3.7109375" customWidth="1"/>
    <col min="35" max="36" style="5796" width="3.00390625" customWidth="1"/>
    <col min="37" max="37" style="5796" width="24.00390625" customWidth="1"/>
    <col min="38" max="38" style="5796" width="3.7109375" customWidth="1"/>
    <col min="39" max="40" style="5796" width="3.00390625" customWidth="1"/>
    <col min="41" max="41" style="5796" width="18.00390625" customWidth="1"/>
    <col min="42" max="42" style="5796" width="3.7109375" customWidth="1"/>
    <col min="43" max="44" style="5796" width="3.00390625" customWidth="1"/>
    <col min="45" max="45" style="5796" width="18.00390625" customWidth="1"/>
    <col min="46" max="49" style="5796" width="21.00390625" customWidth="1"/>
    <col min="50" max="50" style="5796" width="11.00390625" customWidth="1"/>
    <col min="51" max="51" style="5796" width="3.7109375" customWidth="1"/>
    <col min="52" max="52" style="5796" width="11.00390625" customWidth="1"/>
    <col min="53" max="53" style="5796" width="8.57421875" hidden="1" customWidth="1"/>
    <col min="54" max="54" style="5796" width="4.00390625" customWidth="1"/>
    <col min="55" max="55" style="5796" width="115.00390625" customWidth="1"/>
    <col min="56" max="60" style="5305" width="10.00390625" customWidth="1"/>
    <col min="61" max="61" style="5796"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406</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407</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530</v>
      </c>
      <c r="BE4" s="565"/>
      <c r="BF4" s="565" t="str">
        <f>IF(T4="","",T4)</f>
        <v>Наименование централизованной системы водоотведения</v>
      </c>
      <c r="BG4" s="565"/>
      <c r="BH4" s="565"/>
      <c r="BI4" s="1220">
        <v>0</v>
      </c>
    </row>
    <row s="5305"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411</v>
      </c>
      <c r="BE5" s="565"/>
      <c r="BF5" s="565" t="str">
        <f>IF(T5="","",T5)</f>
        <v/>
      </c>
      <c r="BG5" s="565"/>
      <c r="BH5" s="565"/>
      <c r="BI5" s="576">
        <v>0</v>
      </c>
    </row>
    <row s="5305" customFormat="1" customHeight="1" ht="14.25" hidden="1">
      <c r="A6" s="1408"/>
      <c r="B6" s="1408"/>
      <c r="C6" s="1408"/>
      <c r="D6" s="1408"/>
      <c r="E6" s="2324"/>
      <c r="F6" s="2324"/>
      <c r="G6" s="2324"/>
      <c r="H6" s="2324"/>
      <c r="I6" s="2321" t="str">
        <f>S5&amp;".1"</f>
        <v>.1</v>
      </c>
      <c r="J6" s="1408"/>
      <c r="K6" s="1408"/>
      <c r="L6" s="1411" t="s">
        <v>412</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5305"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5305"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5305"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5305"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5305"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5305"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5028" customFormat="1" customHeight="1" ht="14.25" hidden="1">
      <c r="M24" s="1573"/>
      <c r="N24" s="1573"/>
      <c r="O24" s="1574" t="s">
        <v>424</v>
      </c>
      <c r="P24" s="1573"/>
      <c r="Q24" s="1575"/>
      <c r="R24" s="1575"/>
      <c r="AA24" s="1572" t="s">
        <v>426</v>
      </c>
      <c r="AC24" s="1572" t="s">
        <v>427</v>
      </c>
      <c r="AD24" s="1572" t="s">
        <v>479</v>
      </c>
      <c r="AH24" s="1572" t="s">
        <v>479</v>
      </c>
      <c r="AK24" s="1572" t="s">
        <v>519</v>
      </c>
      <c r="AL24" s="1572" t="s">
        <v>479</v>
      </c>
      <c r="AP24" s="1572" t="s">
        <v>479</v>
      </c>
      <c r="AY24" s="1572" t="s">
        <v>426</v>
      </c>
      <c r="BA24" s="1572" t="s">
        <v>427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Нарьян-Марское МУ ПОКиТС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6339"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УГРЦТ НАО</v>
      </c>
      <c r="W31" s="2316"/>
      <c r="X31" s="2316"/>
      <c r="Y31" s="2316"/>
      <c r="Z31" s="2316"/>
      <c r="AA31" s="2316"/>
      <c r="AB31" s="2316"/>
      <c r="AC31" s="391"/>
      <c r="AD31" s="2316" t="str">
        <f>IF(TITLE_NAME_OR_PR_CHANGE="",IF(TITLE_NAME_OR_PR="","",TITLE_NAME_OR_PR),TITLE_NAME_OR_PR_CHANGE)</f>
        <v>УГРЦТ НАО</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6339" customFormat="1" customHeight="1" ht="18.75">
      <c r="A32" s="1433"/>
      <c r="B32" s="1433"/>
      <c r="C32" s="1433"/>
      <c r="D32" s="1433"/>
      <c r="E32" s="1433"/>
      <c r="F32" s="1433"/>
      <c r="G32" s="1433"/>
      <c r="H32" s="1433"/>
      <c r="I32" s="1433"/>
      <c r="J32" s="1433"/>
      <c r="K32" s="1433"/>
      <c r="L32" s="1434"/>
      <c r="M32" s="1433"/>
      <c r="N32" s="1433"/>
      <c r="O32" s="1433"/>
      <c r="P32" s="1433"/>
      <c r="Q32" s="1433"/>
      <c r="S32" s="2315" t="s">
        <v>429</v>
      </c>
      <c r="T32" s="2315"/>
      <c r="U32" s="1437"/>
      <c r="V32" s="2329" t="str">
        <f>IF(TITLE_DATE_PR_CHANGE="",IF(TITLE_DATE_PR="","",TITLE_DATE_PR),TITLE_DATE_PR_CHANGE)</f>
        <v>46008.55446759259</v>
      </c>
      <c r="W32" s="2329"/>
      <c r="X32" s="2329"/>
      <c r="Y32" s="2329"/>
      <c r="Z32" s="2329"/>
      <c r="AA32" s="2329"/>
      <c r="AB32" s="2329"/>
      <c r="AC32" s="391"/>
      <c r="AD32" s="2329" t="str">
        <f>IF(TITLE_DATE_PR_CHANGE="",IF(TITLE_DATE_PR="","",TITLE_DATE_PR),TITLE_DATE_PR_CHANGE)</f>
        <v>46008.55446759259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6339" customFormat="1" customHeight="1" ht="18.75">
      <c r="A33" s="1433"/>
      <c r="B33" s="1433"/>
      <c r="C33" s="1433"/>
      <c r="D33" s="1433"/>
      <c r="E33" s="1433"/>
      <c r="F33" s="1433"/>
      <c r="G33" s="1433"/>
      <c r="H33" s="1433"/>
      <c r="I33" s="1433"/>
      <c r="J33" s="1433"/>
      <c r="K33" s="1433"/>
      <c r="L33" s="1434"/>
      <c r="M33" s="1433"/>
      <c r="N33" s="1433"/>
      <c r="O33" s="1433"/>
      <c r="P33" s="1433"/>
      <c r="Q33" s="1433"/>
      <c r="S33" s="2315" t="s">
        <v>430</v>
      </c>
      <c r="T33" s="2315"/>
      <c r="U33" s="1437"/>
      <c r="V33" s="2316" t="str">
        <f>IF(TITLE_NUMBER_PR_CHANGE="",IF(TITLE_NUMBER_PR="","",TITLE_NUMBER_PR),TITLE_NUMBER_PR_CHANGE)</f>
        <v>57</v>
      </c>
      <c r="W33" s="2316"/>
      <c r="X33" s="2316"/>
      <c r="Y33" s="2316"/>
      <c r="Z33" s="2316"/>
      <c r="AA33" s="2316"/>
      <c r="AB33" s="2316"/>
      <c r="AC33" s="391"/>
      <c r="AD33" s="2316" t="str">
        <f>IF(TITLE_NUMBER_PR_CHANGE="",IF(TITLE_NUMBER_PR="","",TITLE_NUMBER_PR),TITLE_NUMBER_PR_CHANGE)</f>
        <v>57</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6339"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http://pravo.gov.ru</v>
      </c>
      <c r="W34" s="2316"/>
      <c r="X34" s="2316"/>
      <c r="Y34" s="2316"/>
      <c r="Z34" s="2316"/>
      <c r="AA34" s="2316"/>
      <c r="AB34" s="2316"/>
      <c r="AC34" s="391"/>
      <c r="AD34" s="2316" t="str">
        <f>IF(TITLE_IST_PUB_CHANGE="",IF(TITLE_IST_PUB="","",TITLE_IST_PUB),TITLE_IST_PUB_CHANGE)</f>
        <v>http://pravo.gov.ru</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633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429</v>
      </c>
      <c r="T36" s="2315"/>
      <c r="U36" s="1437"/>
      <c r="V36" s="2329" t="str">
        <f>IF(TITLE_DATE_PR_CHANGE="",IF(TITLE_DATE_PR="","",TITLE_DATE_PR),TITLE_DATE_PR_CHANGE)</f>
        <v>46008.55446759259</v>
      </c>
      <c r="W36" s="2329"/>
      <c r="X36" s="2329"/>
      <c r="Y36" s="2329"/>
      <c r="Z36" s="2329"/>
      <c r="AA36" s="2329"/>
      <c r="AB36" s="2329"/>
      <c r="AC36" s="391"/>
      <c r="AD36" s="2329" t="str">
        <f>IF(TITLE_DATE_PR_CHANGE="",IF(TITLE_DATE_PR="","",TITLE_DATE_PR),TITLE_DATE_PR_CHANGE)</f>
        <v>46008.55446759259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633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430</v>
      </c>
      <c r="T37" s="2315"/>
      <c r="U37" s="1437"/>
      <c r="V37" s="2316" t="str">
        <f>IF(TITLE_NUMBER_PR_CHANGE="",IF(TITLE_NUMBER_PR="","",TITLE_NUMBER_PR),TITLE_NUMBER_PR_CHANGE)</f>
        <v>57</v>
      </c>
      <c r="W37" s="2316"/>
      <c r="X37" s="2316"/>
      <c r="Y37" s="2316"/>
      <c r="Z37" s="2316"/>
      <c r="AA37" s="2316"/>
      <c r="AB37" s="2316"/>
      <c r="AC37" s="391"/>
      <c r="AD37" s="2316" t="str">
        <f>IF(TITLE_NUMBER_PR_CHANGE="",IF(TITLE_NUMBER_PR="","",TITLE_NUMBER_PR),TITLE_NUMBER_PR_CHANGE)</f>
        <v>57</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633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309</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310</v>
      </c>
      <c r="BI40" s="1220">
        <v>14</v>
      </c>
    </row>
    <row customHeight="1" ht="14.699999999999998">
      <c r="Q41" s="356"/>
      <c r="R41" s="441"/>
      <c r="S41" s="2338" t="s">
        <v>91</v>
      </c>
      <c r="T41" s="2274" t="s">
        <v>520</v>
      </c>
      <c r="U41" s="366"/>
      <c r="V41" s="2339" t="s">
        <v>435</v>
      </c>
      <c r="W41" s="2340"/>
      <c r="X41" s="2340"/>
      <c r="Y41" s="2340"/>
      <c r="Z41" s="2340"/>
      <c r="AA41" s="2340"/>
      <c r="AB41" s="2341"/>
      <c r="AC41" s="2342" t="s">
        <v>436</v>
      </c>
      <c r="AD41" s="2393" t="s">
        <v>537</v>
      </c>
      <c r="AE41" s="2356"/>
      <c r="AF41" s="2356"/>
      <c r="AG41" s="2394"/>
      <c r="AH41" s="2393" t="s">
        <v>538</v>
      </c>
      <c r="AI41" s="2356"/>
      <c r="AJ41" s="2356"/>
      <c r="AK41" s="2394"/>
      <c r="AL41" s="2393" t="s">
        <v>539</v>
      </c>
      <c r="AM41" s="2356"/>
      <c r="AN41" s="2356"/>
      <c r="AO41" s="2394"/>
      <c r="AP41" s="2393" t="s">
        <v>524</v>
      </c>
      <c r="AQ41" s="2356"/>
      <c r="AR41" s="2356"/>
      <c r="AS41" s="2394"/>
      <c r="AT41" s="2339" t="s">
        <v>435</v>
      </c>
      <c r="AU41" s="2340"/>
      <c r="AV41" s="2340"/>
      <c r="AW41" s="2340"/>
      <c r="AX41" s="2340"/>
      <c r="AY41" s="2340"/>
      <c r="AZ41" s="2341"/>
      <c r="BA41" s="2342" t="s">
        <v>436</v>
      </c>
      <c r="BB41" s="2345" t="s">
        <v>438</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540</v>
      </c>
      <c r="AU42" s="2258"/>
      <c r="AV42" s="2257" t="s">
        <v>541</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443</v>
      </c>
      <c r="F44" s="1429" t="s">
        <v>444</v>
      </c>
      <c r="G44" s="1429" t="s">
        <v>445</v>
      </c>
      <c r="H44" s="1429" t="s">
        <v>446</v>
      </c>
      <c r="I44" s="1429" t="s">
        <v>447</v>
      </c>
      <c r="J44" s="1429" t="s">
        <v>448</v>
      </c>
      <c r="K44" s="1429" t="s">
        <v>449</v>
      </c>
      <c r="L44" s="1429" t="s">
        <v>424</v>
      </c>
      <c r="Q44" s="356"/>
      <c r="R44" s="441"/>
      <c r="S44" s="2338"/>
      <c r="T44" s="2274"/>
      <c r="U44" s="367"/>
      <c r="V44" s="1544" t="s">
        <v>489</v>
      </c>
      <c r="W44" s="1544" t="s">
        <v>490</v>
      </c>
      <c r="X44" s="1544" t="s">
        <v>489</v>
      </c>
      <c r="Y44" s="1544" t="s">
        <v>490</v>
      </c>
      <c r="Z44" s="1554" t="s">
        <v>452</v>
      </c>
      <c r="AA44" s="2335" t="s">
        <v>453</v>
      </c>
      <c r="AB44" s="2336"/>
      <c r="AC44" s="2344"/>
      <c r="AD44" s="2398"/>
      <c r="AE44" s="2399"/>
      <c r="AF44" s="2399"/>
      <c r="AG44" s="2400"/>
      <c r="AH44" s="2398"/>
      <c r="AI44" s="2399"/>
      <c r="AJ44" s="2399"/>
      <c r="AK44" s="2400"/>
      <c r="AL44" s="2398"/>
      <c r="AM44" s="2399"/>
      <c r="AN44" s="2399"/>
      <c r="AO44" s="2400"/>
      <c r="AP44" s="2398"/>
      <c r="AQ44" s="2399"/>
      <c r="AR44" s="2399"/>
      <c r="AS44" s="2400"/>
      <c r="AT44" s="1544" t="s">
        <v>489</v>
      </c>
      <c r="AU44" s="1544" t="s">
        <v>490</v>
      </c>
      <c r="AV44" s="1544" t="s">
        <v>489</v>
      </c>
      <c r="AW44" s="1544" t="s">
        <v>490</v>
      </c>
      <c r="AX44" s="1554" t="s">
        <v>452</v>
      </c>
      <c r="AY44" s="2335" t="s">
        <v>453</v>
      </c>
      <c r="AZ44" s="2336"/>
      <c r="BA44" s="2344"/>
      <c r="BB44" s="2347"/>
      <c r="BC44" s="2192"/>
      <c r="BI44" s="1220">
        <v>14</v>
      </c>
    </row>
    <row s="4600"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285</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285</v>
      </c>
      <c r="B47" s="1428" t="s">
        <v>286</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406</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407</v>
      </c>
      <c r="BE47" s="565"/>
      <c r="BF47" s="565" t="str">
        <f>IF(T47="","",T47)</f>
        <v>Территория действия тарифа</v>
      </c>
      <c r="BG47" s="565"/>
      <c r="BH47" s="565"/>
      <c r="BI47" s="1220">
        <v>21</v>
      </c>
    </row>
    <row customHeight="1" ht="35.699999999999996">
      <c r="A48" s="1428" t="s">
        <v>285</v>
      </c>
      <c r="B48" s="1428" t="s">
        <v>286</v>
      </c>
      <c r="C48" s="1428" t="s">
        <v>287</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530</v>
      </c>
      <c r="BE48" s="565"/>
      <c r="BF48" s="565" t="str">
        <f>IF(T48="","",T48)</f>
        <v>Наименование централизованной системы водоотведения</v>
      </c>
      <c r="BG48" s="565"/>
      <c r="BH48" s="565"/>
      <c r="BI48" s="1220">
        <v>34</v>
      </c>
    </row>
    <row s="5305" customFormat="1" customHeight="1" ht="0">
      <c r="A49" s="1408" t="s">
        <v>285</v>
      </c>
      <c r="B49" s="1408" t="s">
        <v>286</v>
      </c>
      <c r="C49" s="1408" t="s">
        <v>287</v>
      </c>
      <c r="D49" s="1408" t="s">
        <v>542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411</v>
      </c>
      <c r="BE49" s="565"/>
      <c r="BF49" s="565" t="str">
        <f>IF(T49="","",T49)</f>
        <v/>
      </c>
      <c r="BG49" s="565"/>
      <c r="BH49" s="565"/>
      <c r="BI49" s="576">
        <v>0</v>
      </c>
    </row>
    <row s="5305" customFormat="1" customHeight="1" ht="0">
      <c r="A50" s="1408" t="s">
        <v>285</v>
      </c>
      <c r="B50" s="1408" t="s">
        <v>286</v>
      </c>
      <c r="C50" s="1408" t="s">
        <v>287</v>
      </c>
      <c r="D50" s="1408" t="s">
        <v>542</v>
      </c>
      <c r="E50" s="2324"/>
      <c r="F50" s="2324"/>
      <c r="G50" s="2324"/>
      <c r="H50" s="2324"/>
      <c r="I50" s="2321" t="str">
        <f>S49&amp;".1"</f>
        <v>.1</v>
      </c>
      <c r="J50" s="1408"/>
      <c r="K50" s="1408"/>
      <c r="L50" s="1411" t="s">
        <v>412</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5305" customFormat="1" customHeight="1" ht="0">
      <c r="A51" s="1408" t="s">
        <v>285</v>
      </c>
      <c r="B51" s="1408" t="s">
        <v>286</v>
      </c>
      <c r="C51" s="1408" t="s">
        <v>287</v>
      </c>
      <c r="D51" s="1408" t="s">
        <v>542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285</v>
      </c>
      <c r="B52" s="1428" t="s">
        <v>286</v>
      </c>
      <c r="C52" s="1428" t="s">
        <v>287</v>
      </c>
      <c r="D52" s="1428" t="s">
        <v>542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285</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285</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285</v>
      </c>
      <c r="B56" s="1428" t="s">
        <v>286</v>
      </c>
      <c r="C56" s="1428" t="s">
        <v>287</v>
      </c>
      <c r="D56" s="1428" t="s">
        <v>542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285</v>
      </c>
      <c r="B57" s="1428" t="s">
        <v>286</v>
      </c>
      <c r="C57" s="1428" t="s">
        <v>287</v>
      </c>
      <c r="D57" s="1428" t="s">
        <v>542</v>
      </c>
      <c r="E57" s="2324"/>
      <c r="F57" s="2324"/>
      <c r="G57" s="2324"/>
      <c r="H57" s="2324"/>
      <c r="I57" s="2351"/>
      <c r="J57" s="2321"/>
      <c r="K57" s="1428"/>
      <c r="L57" s="1429"/>
      <c r="P57" s="2322"/>
      <c r="Q57" s="2322"/>
      <c r="R57" s="421"/>
      <c r="S57" s="1343"/>
      <c r="T57" s="352" t="s">
        <v>478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5305" customFormat="1" customHeight="1" ht="0">
      <c r="A58" s="1408" t="s">
        <v>285</v>
      </c>
      <c r="B58" s="1408" t="s">
        <v>286</v>
      </c>
      <c r="C58" s="1408" t="s">
        <v>287</v>
      </c>
      <c r="D58" s="1408" t="s">
        <v>542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5305" customFormat="1" customHeight="1" ht="0">
      <c r="A59" s="1408" t="s">
        <v>285</v>
      </c>
      <c r="B59" s="1408" t="s">
        <v>286</v>
      </c>
      <c r="C59" s="1408" t="s">
        <v>287</v>
      </c>
      <c r="D59" s="1408" t="s">
        <v>542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5305" customFormat="1" customHeight="1" ht="0">
      <c r="A60" s="1408" t="s">
        <v>285</v>
      </c>
      <c r="B60" s="1408" t="s">
        <v>286</v>
      </c>
      <c r="C60" s="1408" t="s">
        <v>287</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5305" customFormat="1" customHeight="1" ht="0">
      <c r="A61" s="1408" t="s">
        <v>285</v>
      </c>
      <c r="B61" s="1408" t="s">
        <v>286</v>
      </c>
      <c r="C61" s="1379"/>
      <c r="D61" s="1379"/>
      <c r="E61" s="2324"/>
      <c r="F61" s="2323"/>
      <c r="G61" s="1379"/>
      <c r="H61" s="1379"/>
      <c r="I61" s="1379"/>
      <c r="J61" s="1379"/>
      <c r="K61" s="1379"/>
      <c r="L61" s="1559"/>
      <c r="M61" s="1386"/>
      <c r="N61" s="1386"/>
      <c r="P61" s="1381"/>
      <c r="Q61" s="1382"/>
      <c r="R61" s="1381"/>
      <c r="S61" s="1387"/>
      <c r="T61" s="1390" t="s">
        <v>171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5305" customFormat="1" customHeight="1" ht="0">
      <c r="A62" s="1408" t="s">
        <v>285</v>
      </c>
      <c r="B62" s="1408"/>
      <c r="C62" s="1408"/>
      <c r="D62" s="1408"/>
      <c r="E62" s="2323"/>
      <c r="F62" s="1408"/>
      <c r="G62" s="1408"/>
      <c r="H62" s="1408"/>
      <c r="I62" s="1408"/>
      <c r="J62" s="1408"/>
      <c r="K62" s="1408"/>
      <c r="L62" s="1411"/>
      <c r="M62" s="1386"/>
      <c r="N62" s="1386"/>
      <c r="O62" s="583"/>
      <c r="P62" s="445"/>
      <c r="Q62" s="1409"/>
      <c r="R62" s="445"/>
      <c r="S62" s="1387"/>
      <c r="T62" s="1390" t="s">
        <v>172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5305"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7FE4C-4831-30D4-D775-0.D1A76A2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796" width="8.00390625" hidden="1" customWidth="1"/>
    <col min="2" max="2" style="5745" width="6.00390625" hidden="1" customWidth="1"/>
    <col min="3" max="3" style="5796" width="3.00390625" customWidth="1"/>
    <col min="4" max="4" style="6091" width="3.00390625" customWidth="1"/>
    <col min="5" max="5" style="5796" width="6.00390625" customWidth="1"/>
    <col min="6" max="6" style="5796" width="2.7109375" hidden="1" customWidth="1"/>
    <col min="7" max="7" style="5796" width="46.7109375" customWidth="1"/>
    <col min="8" max="8" style="5796" width="42.00390625" customWidth="1"/>
    <col min="9" max="9" style="5796" width="14.00390625" customWidth="1"/>
    <col min="10" max="10" style="5748" width="3.00390625" customWidth="1"/>
    <col min="11" max="13" style="5748" width="9.140625" hidden="1"/>
    <col min="14" max="14" style="5748" width="25.7109375" hidden="1" customWidth="1"/>
    <col min="15" max="15" style="5748" width="14.421875" hidden="1" customWidth="1"/>
    <col min="16" max="19" style="2885" width="9.140625" hidden="1"/>
    <col min="20" max="27" style="5796" width="9.140625" hidden="1"/>
    <col min="28" max="28" style="5796" width="8.00390625" customWidth="1"/>
    <col min="29" max="29" style="5796" width="9.140625" hidden="1"/>
  </cols>
  <sheetData>
    <row s="5305"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5"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562" customFormat="1" customHeight="1" ht="3">
      <c r="A3" s="823"/>
      <c r="B3" s="482"/>
      <c r="C3" s="823"/>
      <c r="D3" s="229"/>
      <c r="E3" s="168"/>
      <c r="F3" s="574"/>
      <c r="G3" s="168"/>
      <c r="H3" s="168"/>
      <c r="I3" s="231"/>
      <c r="J3" s="312"/>
      <c r="K3" s="220"/>
      <c r="L3" s="220"/>
      <c r="M3" s="220"/>
      <c r="N3" s="291"/>
      <c r="O3" s="220"/>
      <c r="P3" s="290"/>
      <c r="Q3" s="290"/>
      <c r="R3" s="290"/>
      <c r="S3" s="290"/>
      <c r="AC3" s="181">
        <v>3</v>
      </c>
    </row>
    <row s="356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562" customFormat="1" customHeight="1" ht="3">
      <c r="A5" s="823"/>
      <c r="B5" s="482"/>
      <c r="C5" s="823"/>
      <c r="D5" s="229"/>
      <c r="E5" s="168"/>
      <c r="F5" s="574"/>
      <c r="G5" s="232"/>
      <c r="H5" s="232"/>
      <c r="I5" s="233"/>
      <c r="J5" s="220"/>
      <c r="K5" s="220"/>
      <c r="L5" s="220"/>
      <c r="M5" s="220"/>
      <c r="N5" s="291"/>
      <c r="O5" s="220"/>
      <c r="P5" s="290"/>
      <c r="Q5" s="290"/>
      <c r="R5" s="290"/>
      <c r="S5" s="290"/>
      <c r="AC5" s="181">
        <v>3</v>
      </c>
    </row>
    <row s="356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56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56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56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56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6516" customFormat="1" customHeight="1" ht="15.75">
      <c r="A13" s="2164"/>
      <c r="B13" s="482">
        <v>1</v>
      </c>
      <c r="C13" s="482"/>
      <c r="D13" s="865"/>
      <c r="E13" s="845" t="str">
        <f>A12&amp;"."&amp;B13</f>
        <v>1.1</v>
      </c>
      <c r="F13" s="860" t="s">
        <v>102</v>
      </c>
      <c r="G13" s="858" t="s">
        <v>103</v>
      </c>
      <c r="H13" s="858" t="s">
        <v>103</v>
      </c>
      <c r="I13" s="856" t="s">
        <v>104</v>
      </c>
      <c r="J13" s="565">
        <f>MERGEVALUE(G13)</f>
      </c>
      <c r="K13" s="576"/>
      <c r="L13" s="576"/>
      <c r="M13" s="565" t="str">
        <f t="array" ref="M13:M13">IF(ISERROR(MATCH(MID(N13,1,250),MID(note_ter,1,250),0)),"n","y")</f>
        <v>n</v>
      </c>
      <c r="N13" s="576"/>
      <c r="O13" s="565" t="str">
        <f>H13&amp;"("&amp;I13&amp;")"</f>
        <v>Городской округ "Город Нарьян-Мар"(11851000)</v>
      </c>
      <c r="P13" s="482"/>
      <c r="Q13" s="482"/>
      <c r="R13" s="485"/>
      <c r="S13" s="482"/>
      <c r="T13" s="482"/>
      <c r="U13" s="482"/>
      <c r="V13" s="487"/>
      <c r="W13" s="487"/>
      <c r="X13" s="484"/>
      <c r="Y13" s="484"/>
      <c r="Z13" s="484"/>
      <c r="AA13" s="484"/>
      <c r="AB13" s="484"/>
      <c r="AC13" s="488">
        <v>15</v>
      </c>
    </row>
    <row s="6516"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56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56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56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56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487" customFormat="1" customHeight="1" ht="10.5">
      <c r="B19" s="899"/>
      <c r="D19" s="247"/>
      <c r="J19" s="220"/>
      <c r="K19" s="220"/>
      <c r="L19" s="220"/>
      <c r="M19" s="220"/>
      <c r="N19" s="291"/>
      <c r="O19" s="220"/>
      <c r="P19" s="290"/>
      <c r="Q19" s="290"/>
      <c r="R19" s="290"/>
      <c r="S19" s="290"/>
      <c r="AC19" s="246">
        <v>10</v>
      </c>
    </row>
    <row s="348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56DB6-66A4-CB08-27B1-0.1A8A39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8" style="5796" width="19.7109375" hidden="1" customWidth="1"/>
    <col min="29" max="29" style="5796" width="11.7109375" hidden="1" customWidth="1"/>
    <col min="30" max="30" style="5796" width="3.7109375" hidden="1" customWidth="1"/>
    <col min="31" max="31" style="5796" width="11.7109375" hidden="1" customWidth="1"/>
    <col min="32" max="32" style="5796" width="8.57421875" hidden="1" customWidth="1"/>
    <col min="33" max="33" style="5796" width="19.7109375" customWidth="1"/>
    <col min="34" max="39" style="5796" width="19.00390625" customWidth="1"/>
    <col min="40" max="40" style="5796" width="11.00390625" customWidth="1"/>
    <col min="41" max="41" style="5796" width="3.7109375" customWidth="1"/>
    <col min="42" max="42" style="5796" width="11.00390625" customWidth="1"/>
    <col min="43" max="43" style="5796" width="8.57421875" hidden="1" customWidth="1"/>
    <col min="44" max="44" style="5796" width="4.00390625" customWidth="1"/>
    <col min="45" max="45" style="5796" width="115.00390625" customWidth="1"/>
    <col min="46" max="50" style="5305" width="10.00390625" customWidth="1"/>
    <col min="51" max="51" style="5796"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406</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407</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415</v>
      </c>
      <c r="P6" s="2322"/>
      <c r="Q6" s="2322">
        <v>1</v>
      </c>
      <c r="R6" s="422"/>
      <c r="S6" s="1558">
        <f>$J6</f>
      </c>
      <c r="T6" s="351" t="s">
        <v>416</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64</v>
      </c>
      <c r="AE7" s="2330"/>
      <c r="AF7" s="2172" t="s">
        <v>64</v>
      </c>
      <c r="AG7" s="816"/>
      <c r="AH7" s="816"/>
      <c r="AI7" s="816"/>
      <c r="AJ7" s="816"/>
      <c r="AK7" s="816"/>
      <c r="AL7" s="816"/>
      <c r="AM7" s="816"/>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500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421</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5305"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64</v>
      </c>
      <c r="AP15" s="2332"/>
      <c r="AQ15" s="2333" t="s">
        <v>64</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5745" customFormat="1" customHeight="1" ht="22.5" hidden="1">
      <c r="L18" s="1543"/>
      <c r="M18" s="1427"/>
      <c r="N18" s="1427"/>
      <c r="O18" s="1432" t="s">
        <v>423</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5745"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5745" customFormat="1" customHeight="1" ht="12" hidden="1">
      <c r="L20" s="1543"/>
      <c r="M20" s="1427"/>
      <c r="N20" s="1427"/>
      <c r="O20" s="1429" t="s">
        <v>424</v>
      </c>
      <c r="P20" s="1427"/>
      <c r="Q20" s="1507"/>
      <c r="R20" s="1507"/>
      <c r="S20" s="794"/>
      <c r="T20" s="1225" t="s">
        <v>425</v>
      </c>
      <c r="W20" s="1431"/>
      <c r="X20" s="1431"/>
      <c r="Y20" s="1431"/>
      <c r="Z20" s="1431"/>
      <c r="AA20" s="1431"/>
      <c r="AB20" s="1431"/>
      <c r="AD20" s="251" t="s">
        <v>426</v>
      </c>
      <c r="AF20" s="251" t="s">
        <v>427</v>
      </c>
      <c r="AG20" s="1225" t="s">
        <v>425</v>
      </c>
      <c r="AH20" s="1431"/>
      <c r="AI20" s="1431"/>
      <c r="AJ20" s="1431"/>
      <c r="AK20" s="1431"/>
      <c r="AL20" s="1431"/>
      <c r="AO20" s="251" t="s">
        <v>428</v>
      </c>
      <c r="AQ20" s="251" t="s">
        <v>427</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2316"/>
      <c r="AC27" s="2316"/>
      <c r="AD27" s="2316"/>
      <c r="AE27" s="2316"/>
      <c r="AF27" s="391"/>
      <c r="AG27" s="2316" t="str">
        <f>IF(TITLE_NAME_OR_PR_CHANGE="",IF(TITLE_NAME_OR_PR="","",TITLE_NAME_OR_PR),TITLE_NAME_OR_PR_CHANGE)</f>
        <v>УГРЦТ НАО</v>
      </c>
      <c r="AH27" s="2316"/>
      <c r="AI27" s="2316"/>
      <c r="AJ27" s="2316"/>
      <c r="AK27" s="2316"/>
      <c r="AL27" s="2316"/>
      <c r="AM27" s="2316"/>
      <c r="AN27" s="2316"/>
      <c r="AO27" s="2316"/>
      <c r="AP27" s="2316"/>
      <c r="AQ27" s="391"/>
      <c r="AR27" s="391"/>
      <c r="AS27" s="345"/>
      <c r="AT27" s="433"/>
      <c r="AU27" s="433"/>
      <c r="AV27" s="433"/>
      <c r="AW27" s="433"/>
      <c r="AX27" s="433"/>
      <c r="AY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2329"/>
      <c r="AC28" s="2329"/>
      <c r="AD28" s="2329"/>
      <c r="AE28" s="2329"/>
      <c r="AF28" s="391"/>
      <c r="AG28" s="2329" t="str">
        <f>IF(TITLE_DATE_PR_CHANGE="",IF(TITLE_DATE_PR="","",TITLE_DATE_PR),TITLE_DATE_PR_CHANGE)</f>
        <v>46008.55446759259</v>
      </c>
      <c r="AH28" s="2329"/>
      <c r="AI28" s="2329"/>
      <c r="AJ28" s="2329"/>
      <c r="AK28" s="2329"/>
      <c r="AL28" s="2329"/>
      <c r="AM28" s="2329"/>
      <c r="AN28" s="2329"/>
      <c r="AO28" s="2329"/>
      <c r="AP28" s="2329"/>
      <c r="AQ28" s="391"/>
      <c r="AR28" s="391"/>
      <c r="AS28" s="345"/>
      <c r="AT28" s="433"/>
      <c r="AU28" s="433"/>
      <c r="AV28" s="433"/>
      <c r="AW28" s="433"/>
      <c r="AX28" s="433"/>
      <c r="AY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2316"/>
      <c r="AC29" s="2316"/>
      <c r="AD29" s="2316"/>
      <c r="AE29" s="2316"/>
      <c r="AF29" s="391"/>
      <c r="AG29" s="2316" t="str">
        <f>IF(TITLE_NUMBER_PR_CHANGE="",IF(TITLE_NUMBER_PR="","",TITLE_NUMBER_PR),TITLE_NUMBER_PR_CHANGE)</f>
        <v>57</v>
      </c>
      <c r="AH29" s="2316"/>
      <c r="AI29" s="2316"/>
      <c r="AJ29" s="2316"/>
      <c r="AK29" s="2316"/>
      <c r="AL29" s="2316"/>
      <c r="AM29" s="2316"/>
      <c r="AN29" s="2316"/>
      <c r="AO29" s="2316"/>
      <c r="AP29" s="2316"/>
      <c r="AQ29" s="391"/>
      <c r="AR29" s="391"/>
      <c r="AS29" s="345"/>
      <c r="AT29" s="433"/>
      <c r="AU29" s="433"/>
      <c r="AV29" s="433"/>
      <c r="AW29" s="433"/>
      <c r="AX29" s="433"/>
      <c r="AY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2316"/>
      <c r="AC30" s="2316"/>
      <c r="AD30" s="2316"/>
      <c r="AE30" s="2316"/>
      <c r="AF30" s="391"/>
      <c r="AG30" s="2316" t="str">
        <f>IF(TITLE_IST_PUB_CHANGE="",IF(TITLE_IST_PUB="","",TITLE_IST_PUB),TITLE_IST_PUB_CHANGE)</f>
        <v>http://pravo.gov.ru</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2329"/>
      <c r="AC32" s="2329"/>
      <c r="AD32" s="2329"/>
      <c r="AE32" s="2329"/>
      <c r="AF32" s="391"/>
      <c r="AG32" s="2329" t="str">
        <f>IF(TITLE_DATE_PR_CHANGE="",IF(TITLE_DATE_PR="","",TITLE_DATE_PR),TITLE_DATE_PR_CHANGE)</f>
        <v>46008.55446759259</v>
      </c>
      <c r="AH32" s="2329"/>
      <c r="AI32" s="2329"/>
      <c r="AJ32" s="2329"/>
      <c r="AK32" s="2329"/>
      <c r="AL32" s="2329"/>
      <c r="AM32" s="2329"/>
      <c r="AN32" s="2329"/>
      <c r="AO32" s="2329"/>
      <c r="AP32" s="2329"/>
      <c r="AQ32" s="391"/>
      <c r="AR32" s="391"/>
      <c r="AS32" s="345"/>
      <c r="AT32" s="433"/>
      <c r="AU32" s="433"/>
      <c r="AV32" s="433"/>
      <c r="AW32" s="433"/>
      <c r="AX32" s="433"/>
      <c r="AY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2316"/>
      <c r="AC33" s="2316"/>
      <c r="AD33" s="2316"/>
      <c r="AE33" s="2316"/>
      <c r="AF33" s="391"/>
      <c r="AG33" s="2316" t="str">
        <f>IF(TITLE_NUMBER_PR_CHANGE="",IF(TITLE_NUMBER_PR="","",TITLE_NUMBER_PR),TITLE_NUMBER_PR_CHANGE)</f>
        <v>57</v>
      </c>
      <c r="AH33" s="2316"/>
      <c r="AI33" s="2316"/>
      <c r="AJ33" s="2316"/>
      <c r="AK33" s="2316"/>
      <c r="AL33" s="2316"/>
      <c r="AM33" s="2316"/>
      <c r="AN33" s="2316"/>
      <c r="AO33" s="2316"/>
      <c r="AP33" s="2316"/>
      <c r="AQ33" s="391"/>
      <c r="AR33" s="391"/>
      <c r="AS33" s="345"/>
      <c r="AT33" s="433"/>
      <c r="AU33" s="433"/>
      <c r="AV33" s="433"/>
      <c r="AW33" s="433"/>
      <c r="AX33" s="433"/>
      <c r="AY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433</v>
      </c>
      <c r="AG34" s="391"/>
      <c r="AH34" s="1700"/>
      <c r="AI34" s="1700"/>
      <c r="AJ34" s="1700"/>
      <c r="AK34" s="1700"/>
      <c r="AL34" s="1700"/>
      <c r="AM34" s="391"/>
      <c r="AN34" s="391"/>
      <c r="AO34" s="391"/>
      <c r="AP34" s="391"/>
      <c r="AQ34" s="343" t="s">
        <v>433</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310</v>
      </c>
      <c r="AY36" s="1220">
        <v>14</v>
      </c>
    </row>
    <row customHeight="1" ht="14.699999999999998">
      <c r="Q37" s="441"/>
      <c r="R37" s="441"/>
      <c r="S37" s="2338" t="s">
        <v>91</v>
      </c>
      <c r="T37" s="2274" t="s">
        <v>434</v>
      </c>
      <c r="U37" s="366"/>
      <c r="V37" s="2339" t="s">
        <v>435</v>
      </c>
      <c r="W37" s="2356"/>
      <c r="X37" s="2356"/>
      <c r="Y37" s="2356"/>
      <c r="Z37" s="2356"/>
      <c r="AA37" s="2356"/>
      <c r="AB37" s="2356"/>
      <c r="AC37" s="2340"/>
      <c r="AD37" s="2340"/>
      <c r="AE37" s="2341"/>
      <c r="AF37" s="2342" t="s">
        <v>436</v>
      </c>
      <c r="AG37" s="2339" t="s">
        <v>435</v>
      </c>
      <c r="AH37" s="2340"/>
      <c r="AI37" s="2340"/>
      <c r="AJ37" s="2340"/>
      <c r="AK37" s="2340"/>
      <c r="AL37" s="2340"/>
      <c r="AM37" s="2340"/>
      <c r="AN37" s="2340"/>
      <c r="AO37" s="2340"/>
      <c r="AP37" s="2341"/>
      <c r="AQ37" s="2342" t="s">
        <v>437</v>
      </c>
      <c r="AR37" s="2345" t="s">
        <v>438</v>
      </c>
      <c r="AS37" s="2192"/>
      <c r="AY37" s="1220">
        <v>14</v>
      </c>
    </row>
    <row customHeight="1" ht="19.95">
      <c r="Q38" s="441"/>
      <c r="R38" s="441"/>
      <c r="S38" s="2338"/>
      <c r="T38" s="2274"/>
      <c r="U38" s="1096"/>
      <c r="V38" s="2431" t="s">
        <v>545</v>
      </c>
      <c r="W38" s="2430" t="s">
        <v>546</v>
      </c>
      <c r="X38" s="2430"/>
      <c r="Y38" s="2430"/>
      <c r="Z38" s="2430" t="s">
        <v>547</v>
      </c>
      <c r="AA38" s="2430"/>
      <c r="AB38" s="2430"/>
      <c r="AC38" s="2359" t="s">
        <v>442</v>
      </c>
      <c r="AD38" s="2378"/>
      <c r="AE38" s="2379"/>
      <c r="AF38" s="2343"/>
      <c r="AG38" s="2431" t="s">
        <v>545</v>
      </c>
      <c r="AH38" s="2430" t="s">
        <v>546</v>
      </c>
      <c r="AI38" s="2430"/>
      <c r="AJ38" s="2430"/>
      <c r="AK38" s="2430" t="s">
        <v>547</v>
      </c>
      <c r="AL38" s="2430"/>
      <c r="AM38" s="2430"/>
      <c r="AN38" s="2359" t="s">
        <v>442</v>
      </c>
      <c r="AO38" s="2378"/>
      <c r="AP38" s="2379"/>
      <c r="AQ38" s="2343"/>
      <c r="AR38" s="2346"/>
      <c r="AS38" s="2192"/>
      <c r="AY38" s="1220">
        <v>19</v>
      </c>
    </row>
    <row s="5796"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548</v>
      </c>
      <c r="X39" s="2430" t="s">
        <v>549</v>
      </c>
      <c r="Y39" s="2430"/>
      <c r="Z39" s="2430" t="s">
        <v>550</v>
      </c>
      <c r="AA39" s="2430" t="s">
        <v>549</v>
      </c>
      <c r="AB39" s="2430"/>
      <c r="AC39" s="2360"/>
      <c r="AD39" s="2380"/>
      <c r="AE39" s="2381"/>
      <c r="AF39" s="2343"/>
      <c r="AG39" s="2431"/>
      <c r="AH39" s="2430" t="s">
        <v>548</v>
      </c>
      <c r="AI39" s="2430" t="s">
        <v>549</v>
      </c>
      <c r="AJ39" s="2430"/>
      <c r="AK39" s="2430" t="s">
        <v>550</v>
      </c>
      <c r="AL39" s="2430" t="s">
        <v>549</v>
      </c>
      <c r="AM39" s="2430"/>
      <c r="AN39" s="2360"/>
      <c r="AO39" s="2380"/>
      <c r="AP39" s="2381"/>
      <c r="AQ39" s="2343"/>
      <c r="AR39" s="2346"/>
      <c r="AS39" s="2192"/>
      <c r="AT39" s="1701"/>
      <c r="AU39" s="1701"/>
      <c r="AV39" s="1701"/>
      <c r="AW39" s="1701"/>
      <c r="AX39" s="1701"/>
      <c r="AY39" s="1696">
        <v>19</v>
      </c>
    </row>
    <row customHeight="1" ht="61.949999999999996">
      <c r="A40" s="1435"/>
      <c r="B40" s="1435" t="s">
        <v>138</v>
      </c>
      <c r="C40" s="1435" t="s">
        <v>139</v>
      </c>
      <c r="D40" s="1435" t="s">
        <v>140</v>
      </c>
      <c r="E40" s="1429" t="s">
        <v>443</v>
      </c>
      <c r="F40" s="1429" t="s">
        <v>444</v>
      </c>
      <c r="G40" s="1429" t="s">
        <v>445</v>
      </c>
      <c r="H40" s="1429"/>
      <c r="I40" s="1429" t="s">
        <v>503</v>
      </c>
      <c r="J40" s="1429" t="s">
        <v>448</v>
      </c>
      <c r="K40" s="1429" t="s">
        <v>504</v>
      </c>
      <c r="L40" s="1429" t="s">
        <v>424</v>
      </c>
      <c r="Q40" s="441"/>
      <c r="R40" s="441"/>
      <c r="S40" s="2338"/>
      <c r="T40" s="2274"/>
      <c r="U40" s="367"/>
      <c r="V40" s="2431"/>
      <c r="W40" s="2430"/>
      <c r="X40" s="2048" t="s">
        <v>551</v>
      </c>
      <c r="Y40" s="2048" t="s">
        <v>552</v>
      </c>
      <c r="Z40" s="2430"/>
      <c r="AA40" s="2048" t="s">
        <v>553</v>
      </c>
      <c r="AB40" s="2048" t="s">
        <v>554</v>
      </c>
      <c r="AC40" s="1554" t="s">
        <v>452</v>
      </c>
      <c r="AD40" s="2335" t="s">
        <v>453</v>
      </c>
      <c r="AE40" s="2336"/>
      <c r="AF40" s="2344"/>
      <c r="AG40" s="2431"/>
      <c r="AH40" s="2430"/>
      <c r="AI40" s="2048" t="s">
        <v>551</v>
      </c>
      <c r="AJ40" s="2048" t="s">
        <v>552</v>
      </c>
      <c r="AK40" s="2430"/>
      <c r="AL40" s="2048" t="s">
        <v>553</v>
      </c>
      <c r="AM40" s="2048" t="s">
        <v>554</v>
      </c>
      <c r="AN40" s="1554" t="s">
        <v>452</v>
      </c>
      <c r="AO40" s="2335" t="s">
        <v>453</v>
      </c>
      <c r="AP40" s="2336"/>
      <c r="AQ40" s="2344"/>
      <c r="AR40" s="2347"/>
      <c r="AS40" s="2192"/>
      <c r="AY40" s="1220">
        <v>59</v>
      </c>
    </row>
    <row s="4600"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260</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260</v>
      </c>
      <c r="B43" s="1428" t="s">
        <v>261</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406</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407</v>
      </c>
      <c r="AU43" s="565"/>
      <c r="AV43" s="565" t="str">
        <f>IF(T43="","",T43)</f>
        <v>Территория действия тарифа</v>
      </c>
      <c r="AW43" s="565"/>
      <c r="AX43" s="565"/>
      <c r="AY43" s="1220">
        <v>23</v>
      </c>
    </row>
    <row customHeight="1" ht="24">
      <c r="A44" s="1428" t="s">
        <v>260</v>
      </c>
      <c r="B44" s="1428" t="s">
        <v>261</v>
      </c>
      <c r="C44" s="1428" t="s">
        <v>262</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544</v>
      </c>
      <c r="AU44" s="565"/>
      <c r="AV44" s="565" t="str">
        <f>IF(T44="","",T44)</f>
        <v>Наименование централизованной системы горячего водоснабжения</v>
      </c>
      <c r="AW44" s="565"/>
      <c r="AX44" s="565"/>
      <c r="AY44" s="1220">
        <v>23</v>
      </c>
    </row>
    <row customHeight="1" ht="24">
      <c r="A45" s="1428" t="s">
        <v>260</v>
      </c>
      <c r="B45" s="1428" t="s">
        <v>261</v>
      </c>
      <c r="C45" s="1428" t="s">
        <v>262</v>
      </c>
      <c r="D45" s="1428" t="s">
        <v>555</v>
      </c>
      <c r="E45" s="2324"/>
      <c r="F45" s="2324"/>
      <c r="G45" s="2324"/>
      <c r="H45" s="2324"/>
      <c r="I45" s="2321" t="str">
        <f>S44&amp;".1"</f>
        <v>...1</v>
      </c>
      <c r="J45" s="1428"/>
      <c r="K45" s="1428"/>
      <c r="L45" s="1429"/>
      <c r="P45" s="2322">
        <v>1</v>
      </c>
      <c r="Q45" s="1546"/>
      <c r="R45" s="421"/>
      <c r="S45" s="1558" t="str">
        <f>$I45</f>
        <v>...1</v>
      </c>
      <c r="T45" s="350" t="s">
        <v>496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497</v>
      </c>
      <c r="AU45" s="565"/>
      <c r="AV45" s="565" t="str">
        <f>IF(T45="","",T45)</f>
        <v>Наименование признака дифференциации</v>
      </c>
      <c r="AW45" s="565"/>
      <c r="AX45" s="565"/>
      <c r="AY45" s="1220">
        <v>23</v>
      </c>
    </row>
    <row customHeight="1" ht="24">
      <c r="A46" s="1428" t="s">
        <v>260</v>
      </c>
      <c r="B46" s="1428" t="s">
        <v>261</v>
      </c>
      <c r="C46" s="1428" t="s">
        <v>262</v>
      </c>
      <c r="D46" s="1428" t="s">
        <v>555</v>
      </c>
      <c r="E46" s="2324"/>
      <c r="F46" s="2324"/>
      <c r="G46" s="2324"/>
      <c r="H46" s="2324"/>
      <c r="I46" s="2351"/>
      <c r="J46" s="2321" t="str">
        <f>I45&amp;".1"</f>
        <v>...1.1</v>
      </c>
      <c r="K46" s="1428"/>
      <c r="L46" s="1429" t="s">
        <v>415</v>
      </c>
      <c r="P46" s="2322"/>
      <c r="Q46" s="2322">
        <v>1</v>
      </c>
      <c r="R46" s="422"/>
      <c r="S46" s="1558" t="str">
        <f>$J46</f>
        <v>...1.1</v>
      </c>
      <c r="T46" s="351" t="s">
        <v>416</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498</v>
      </c>
      <c r="AU46" s="565"/>
      <c r="AV46" s="565" t="str">
        <f>IF(T46="","",T46)</f>
        <v>Группа потребителей</v>
      </c>
      <c r="AW46" s="565"/>
      <c r="AX46" s="565"/>
      <c r="AY46" s="1220">
        <v>23</v>
      </c>
    </row>
    <row customHeight="1" ht="24">
      <c r="A47" s="1428" t="s">
        <v>260</v>
      </c>
      <c r="B47" s="1428" t="s">
        <v>261</v>
      </c>
      <c r="C47" s="1428" t="s">
        <v>262</v>
      </c>
      <c r="D47" s="1428" t="s">
        <v>555</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64</v>
      </c>
      <c r="AE47" s="2332"/>
      <c r="AF47" s="2333" t="s">
        <v>64</v>
      </c>
      <c r="AG47" s="816"/>
      <c r="AH47" s="816"/>
      <c r="AI47" s="816"/>
      <c r="AJ47" s="816"/>
      <c r="AK47" s="816"/>
      <c r="AL47" s="816"/>
      <c r="AM47" s="816"/>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260</v>
      </c>
      <c r="B48" s="1428" t="s">
        <v>261</v>
      </c>
      <c r="C48" s="1428" t="s">
        <v>262</v>
      </c>
      <c r="D48" s="1428" t="s">
        <v>555</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260</v>
      </c>
      <c r="B49" s="1428" t="s">
        <v>261</v>
      </c>
      <c r="C49" s="1428" t="s">
        <v>262</v>
      </c>
      <c r="D49" s="1428" t="s">
        <v>555</v>
      </c>
      <c r="E49" s="2324"/>
      <c r="F49" s="2324"/>
      <c r="G49" s="2324"/>
      <c r="H49" s="2324"/>
      <c r="I49" s="2351"/>
      <c r="J49" s="2321"/>
      <c r="K49" s="1428"/>
      <c r="L49" s="1429"/>
      <c r="P49" s="2322"/>
      <c r="Q49" s="2322"/>
      <c r="R49" s="421"/>
      <c r="S49" s="1343"/>
      <c r="T49" s="352" t="s">
        <v>499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500</v>
      </c>
      <c r="AU49" s="565"/>
      <c r="AV49" s="565" t="str">
        <f>IF(T49="","",T49)</f>
        <v>Добавить значение признака дифференциации</v>
      </c>
      <c r="AW49" s="565"/>
      <c r="AX49" s="565"/>
      <c r="AY49" s="1220">
        <v>20</v>
      </c>
    </row>
    <row customHeight="1" ht="22.049999999999997">
      <c r="A50" s="1428" t="s">
        <v>260</v>
      </c>
      <c r="B50" s="1428" t="s">
        <v>261</v>
      </c>
      <c r="C50" s="1428" t="s">
        <v>262</v>
      </c>
      <c r="D50" s="1428" t="s">
        <v>555</v>
      </c>
      <c r="E50" s="2324"/>
      <c r="F50" s="2324"/>
      <c r="G50" s="2324"/>
      <c r="H50" s="2324"/>
      <c r="I50" s="2321"/>
      <c r="J50" s="1428"/>
      <c r="K50" s="1428"/>
      <c r="L50" s="1429"/>
      <c r="P50" s="2322"/>
      <c r="Q50" s="1546"/>
      <c r="R50" s="421"/>
      <c r="S50" s="1343"/>
      <c r="T50" s="430" t="s">
        <v>421</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260</v>
      </c>
      <c r="B51" s="1428" t="s">
        <v>261</v>
      </c>
      <c r="C51" s="1428" t="s">
        <v>262</v>
      </c>
      <c r="D51" s="1428" t="s">
        <v>555</v>
      </c>
      <c r="E51" s="2324"/>
      <c r="F51" s="2324"/>
      <c r="G51" s="2324"/>
      <c r="H51" s="2323"/>
      <c r="I51" s="1428"/>
      <c r="J51" s="1428"/>
      <c r="K51" s="1428"/>
      <c r="L51" s="1429"/>
      <c r="M51" s="1430"/>
      <c r="N51" s="1430"/>
      <c r="O51" s="602"/>
      <c r="P51" s="425"/>
      <c r="Q51" s="440"/>
      <c r="R51" s="420"/>
      <c r="S51" s="1343"/>
      <c r="T51" s="437" t="s">
        <v>501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5305" customFormat="1" customHeight="1" ht="0">
      <c r="A52" s="1408" t="s">
        <v>260</v>
      </c>
      <c r="B52" s="1408" t="s">
        <v>261</v>
      </c>
      <c r="C52" s="1379"/>
      <c r="D52" s="1379"/>
      <c r="E52" s="2324"/>
      <c r="F52" s="2323"/>
      <c r="G52" s="1379"/>
      <c r="H52" s="1379"/>
      <c r="I52" s="1379"/>
      <c r="J52" s="1379"/>
      <c r="K52" s="1379"/>
      <c r="L52" s="1559"/>
      <c r="M52" s="1386"/>
      <c r="N52" s="1386"/>
      <c r="P52" s="1381"/>
      <c r="Q52" s="1382"/>
      <c r="R52" s="1381"/>
      <c r="S52" s="1387"/>
      <c r="T52" s="1390" t="s">
        <v>171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5305" customFormat="1" customHeight="1" ht="0">
      <c r="A53" s="1408" t="s">
        <v>260</v>
      </c>
      <c r="B53" s="1408"/>
      <c r="C53" s="1408"/>
      <c r="D53" s="1408"/>
      <c r="E53" s="2323"/>
      <c r="F53" s="1408"/>
      <c r="G53" s="1408"/>
      <c r="H53" s="1408"/>
      <c r="I53" s="1408"/>
      <c r="J53" s="1408"/>
      <c r="K53" s="1408"/>
      <c r="L53" s="1411"/>
      <c r="M53" s="1386"/>
      <c r="N53" s="1386"/>
      <c r="O53" s="583"/>
      <c r="P53" s="445"/>
      <c r="Q53" s="1409"/>
      <c r="R53" s="445"/>
      <c r="S53" s="1387"/>
      <c r="T53" s="1390" t="s">
        <v>172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5305"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990AA-2D34-EF94-39C7-0.7A8F7C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4.140625" hidden="1" customWidth="1"/>
    <col min="10" max="10" style="5745" width="9.8515625" hidden="1" customWidth="1"/>
    <col min="11" max="11" style="5745" width="14.7109375" hidden="1" customWidth="1"/>
    <col min="12" max="12" style="6261" width="19.140625" hidden="1" customWidth="1"/>
    <col min="13" max="14" style="4989" width="12.28125" hidden="1" customWidth="1"/>
    <col min="15" max="15" style="4989" width="23.421875" hidden="1" customWidth="1"/>
    <col min="16" max="16" style="6479" width="3.00390625" customWidth="1"/>
    <col min="17" max="18" style="5766" width="3.00390625" customWidth="1"/>
    <col min="19" max="19" style="6453" width="12.00390625" customWidth="1"/>
    <col min="20" max="20" style="5796" width="35.00390625" customWidth="1"/>
    <col min="21" max="21" style="5796" width="0.140625" customWidth="1"/>
    <col min="22" max="28" style="5796" width="19.7109375" hidden="1" customWidth="1"/>
    <col min="29" max="29" style="5796" width="11.7109375" hidden="1" customWidth="1"/>
    <col min="30" max="30" style="5796" width="3.7109375" hidden="1" customWidth="1"/>
    <col min="31" max="31" style="5796" width="11.7109375" hidden="1" customWidth="1"/>
    <col min="32" max="32" style="5796" width="8.57421875" hidden="1" customWidth="1"/>
    <col min="33" max="33" style="5796" width="19.7109375" customWidth="1"/>
    <col min="34" max="39" style="5796" width="19.00390625" customWidth="1"/>
    <col min="40" max="40" style="5796" width="11.00390625" customWidth="1"/>
    <col min="41" max="41" style="5796" width="3.7109375" customWidth="1"/>
    <col min="42" max="42" style="5796" width="11.00390625" customWidth="1"/>
    <col min="43" max="43" style="5796" width="8.57421875" hidden="1" customWidth="1"/>
    <col min="44" max="44" style="5796" width="4.00390625" customWidth="1"/>
    <col min="45" max="45" style="5796" width="115.00390625" customWidth="1"/>
    <col min="46" max="50" style="5305" width="10.00390625" customWidth="1"/>
    <col min="51" max="51" style="5796"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406</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407</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415</v>
      </c>
      <c r="P6" s="2322"/>
      <c r="Q6" s="2322">
        <v>1</v>
      </c>
      <c r="R6" s="422"/>
      <c r="S6" s="1558">
        <f>$J6</f>
      </c>
      <c r="T6" s="351" t="s">
        <v>416</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64</v>
      </c>
      <c r="AE7" s="2330"/>
      <c r="AF7" s="2172" t="s">
        <v>64</v>
      </c>
      <c r="AG7" s="816"/>
      <c r="AH7" s="816"/>
      <c r="AI7" s="816"/>
      <c r="AJ7" s="816"/>
      <c r="AK7" s="816"/>
      <c r="AL7" s="816"/>
      <c r="AM7" s="1322"/>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500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421</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5305"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5305"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64</v>
      </c>
      <c r="AP15" s="2332"/>
      <c r="AQ15" s="2333" t="s">
        <v>64</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5745" customFormat="1" customHeight="1" ht="22.5" hidden="1">
      <c r="L18" s="1543"/>
      <c r="M18" s="1427"/>
      <c r="N18" s="1427"/>
      <c r="O18" s="1432" t="s">
        <v>423</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5745"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5745" customFormat="1" customHeight="1" ht="12" hidden="1">
      <c r="L20" s="1543"/>
      <c r="M20" s="1427"/>
      <c r="N20" s="1427"/>
      <c r="O20" s="1429" t="s">
        <v>424</v>
      </c>
      <c r="P20" s="1427"/>
      <c r="Q20" s="1507"/>
      <c r="R20" s="1507"/>
      <c r="S20" s="794"/>
      <c r="T20" s="1225" t="s">
        <v>425</v>
      </c>
      <c r="W20" s="1431"/>
      <c r="X20" s="1431"/>
      <c r="Y20" s="1431"/>
      <c r="Z20" s="1431"/>
      <c r="AA20" s="1431"/>
      <c r="AD20" s="251" t="s">
        <v>426</v>
      </c>
      <c r="AF20" s="251" t="s">
        <v>427</v>
      </c>
      <c r="AG20" s="1225" t="s">
        <v>425</v>
      </c>
      <c r="AH20" s="1431"/>
      <c r="AI20" s="1431"/>
      <c r="AJ20" s="1431"/>
      <c r="AK20" s="1431"/>
      <c r="AL20" s="1431"/>
      <c r="AO20" s="251" t="s">
        <v>428</v>
      </c>
      <c r="AQ20" s="251" t="s">
        <v>427</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Нарьян-Марское МУ ПОКиТС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6339"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УГРЦТ НАО</v>
      </c>
      <c r="W27" s="2316"/>
      <c r="X27" s="2316"/>
      <c r="Y27" s="2316"/>
      <c r="Z27" s="2316"/>
      <c r="AA27" s="2316"/>
      <c r="AB27" s="2316"/>
      <c r="AC27" s="2316"/>
      <c r="AD27" s="2316"/>
      <c r="AE27" s="2316"/>
      <c r="AF27" s="391"/>
      <c r="AG27" s="2316" t="str">
        <f>IF(TITLE_NAME_OR_PR_CHANGE="",IF(TITLE_NAME_OR_PR="","",TITLE_NAME_OR_PR),TITLE_NAME_OR_PR_CHANGE)</f>
        <v>УГРЦТ НАО</v>
      </c>
      <c r="AH27" s="2316"/>
      <c r="AI27" s="2316"/>
      <c r="AJ27" s="2316"/>
      <c r="AK27" s="2316"/>
      <c r="AL27" s="2316"/>
      <c r="AM27" s="2316"/>
      <c r="AN27" s="2316"/>
      <c r="AO27" s="2316"/>
      <c r="AP27" s="2316"/>
      <c r="AQ27" s="391"/>
      <c r="AR27" s="391"/>
      <c r="AS27" s="345"/>
      <c r="AT27" s="433"/>
      <c r="AU27" s="433"/>
      <c r="AV27" s="433"/>
      <c r="AW27" s="433"/>
      <c r="AX27" s="433"/>
      <c r="AY27" s="483">
        <v>0</v>
      </c>
    </row>
    <row s="6339" customFormat="1" customHeight="1" ht="18.75">
      <c r="A28" s="1433"/>
      <c r="B28" s="1433"/>
      <c r="C28" s="1433"/>
      <c r="D28" s="1433"/>
      <c r="E28" s="1433"/>
      <c r="F28" s="1433"/>
      <c r="G28" s="1433"/>
      <c r="H28" s="1433"/>
      <c r="I28" s="1433"/>
      <c r="J28" s="1433"/>
      <c r="K28" s="1433"/>
      <c r="L28" s="1434"/>
      <c r="M28" s="1433"/>
      <c r="N28" s="1433"/>
      <c r="O28" s="1433"/>
      <c r="S28" s="2315" t="s">
        <v>429</v>
      </c>
      <c r="T28" s="2315"/>
      <c r="U28" s="1437"/>
      <c r="V28" s="2329" t="str">
        <f>IF(TITLE_DATE_PR_CHANGE="",IF(TITLE_DATE_PR="","",TITLE_DATE_PR),TITLE_DATE_PR_CHANGE)</f>
        <v>46008.55446759259</v>
      </c>
      <c r="W28" s="2329"/>
      <c r="X28" s="2329"/>
      <c r="Y28" s="2329"/>
      <c r="Z28" s="2329"/>
      <c r="AA28" s="2329"/>
      <c r="AB28" s="2329"/>
      <c r="AC28" s="2329"/>
      <c r="AD28" s="2329"/>
      <c r="AE28" s="2329"/>
      <c r="AF28" s="391"/>
      <c r="AG28" s="2329" t="str">
        <f>IF(TITLE_DATE_PR_CHANGE="",IF(TITLE_DATE_PR="","",TITLE_DATE_PR),TITLE_DATE_PR_CHANGE)</f>
        <v>46008.55446759259</v>
      </c>
      <c r="AH28" s="2329"/>
      <c r="AI28" s="2329"/>
      <c r="AJ28" s="2329"/>
      <c r="AK28" s="2329"/>
      <c r="AL28" s="2329"/>
      <c r="AM28" s="2329"/>
      <c r="AN28" s="2329"/>
      <c r="AO28" s="2329"/>
      <c r="AP28" s="2329"/>
      <c r="AQ28" s="391"/>
      <c r="AR28" s="391"/>
      <c r="AS28" s="345"/>
      <c r="AT28" s="433"/>
      <c r="AU28" s="433"/>
      <c r="AV28" s="433"/>
      <c r="AW28" s="433"/>
      <c r="AX28" s="433"/>
      <c r="AY28" s="483">
        <v>0</v>
      </c>
    </row>
    <row s="6339" customFormat="1" customHeight="1" ht="18.75">
      <c r="A29" s="1433"/>
      <c r="B29" s="1433"/>
      <c r="C29" s="1433"/>
      <c r="D29" s="1433"/>
      <c r="E29" s="1433"/>
      <c r="F29" s="1433"/>
      <c r="G29" s="1433"/>
      <c r="H29" s="1433"/>
      <c r="I29" s="1433"/>
      <c r="J29" s="1433"/>
      <c r="K29" s="1433"/>
      <c r="L29" s="1434"/>
      <c r="M29" s="1433"/>
      <c r="N29" s="1433"/>
      <c r="O29" s="1433"/>
      <c r="S29" s="2315" t="s">
        <v>430</v>
      </c>
      <c r="T29" s="2315"/>
      <c r="U29" s="1437"/>
      <c r="V29" s="2316" t="str">
        <f>IF(TITLE_NUMBER_PR_CHANGE="",IF(TITLE_NUMBER_PR="","",TITLE_NUMBER_PR),TITLE_NUMBER_PR_CHANGE)</f>
        <v>57</v>
      </c>
      <c r="W29" s="2316"/>
      <c r="X29" s="2316"/>
      <c r="Y29" s="2316"/>
      <c r="Z29" s="2316"/>
      <c r="AA29" s="2316"/>
      <c r="AB29" s="2316"/>
      <c r="AC29" s="2316"/>
      <c r="AD29" s="2316"/>
      <c r="AE29" s="2316"/>
      <c r="AF29" s="391"/>
      <c r="AG29" s="2316" t="str">
        <f>IF(TITLE_NUMBER_PR_CHANGE="",IF(TITLE_NUMBER_PR="","",TITLE_NUMBER_PR),TITLE_NUMBER_PR_CHANGE)</f>
        <v>57</v>
      </c>
      <c r="AH29" s="2316"/>
      <c r="AI29" s="2316"/>
      <c r="AJ29" s="2316"/>
      <c r="AK29" s="2316"/>
      <c r="AL29" s="2316"/>
      <c r="AM29" s="2316"/>
      <c r="AN29" s="2316"/>
      <c r="AO29" s="2316"/>
      <c r="AP29" s="2316"/>
      <c r="AQ29" s="391"/>
      <c r="AR29" s="391"/>
      <c r="AS29" s="345"/>
      <c r="AT29" s="433"/>
      <c r="AU29" s="433"/>
      <c r="AV29" s="433"/>
      <c r="AW29" s="433"/>
      <c r="AX29" s="433"/>
      <c r="AY29" s="483">
        <v>0</v>
      </c>
    </row>
    <row s="6339"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http://pravo.gov.ru</v>
      </c>
      <c r="W30" s="2316"/>
      <c r="X30" s="2316"/>
      <c r="Y30" s="2316"/>
      <c r="Z30" s="2316"/>
      <c r="AA30" s="2316"/>
      <c r="AB30" s="2316"/>
      <c r="AC30" s="2316"/>
      <c r="AD30" s="2316"/>
      <c r="AE30" s="2316"/>
      <c r="AF30" s="391"/>
      <c r="AG30" s="2316" t="str">
        <f>IF(TITLE_IST_PUB_CHANGE="",IF(TITLE_IST_PUB="","",TITLE_IST_PUB),TITLE_IST_PUB_CHANGE)</f>
        <v>http://pravo.gov.ru</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6339" customFormat="1" customHeight="1" ht="18.75" hidden="1">
      <c r="A32" s="1433"/>
      <c r="B32" s="1433"/>
      <c r="C32" s="1433"/>
      <c r="D32" s="1433"/>
      <c r="E32" s="1433"/>
      <c r="F32" s="1433"/>
      <c r="G32" s="1433"/>
      <c r="H32" s="1433"/>
      <c r="I32" s="1433"/>
      <c r="J32" s="1433"/>
      <c r="K32" s="1433"/>
      <c r="L32" s="1434"/>
      <c r="M32" s="1433"/>
      <c r="N32" s="1433"/>
      <c r="O32" s="1433"/>
      <c r="S32" s="2315" t="s">
        <v>431</v>
      </c>
      <c r="T32" s="2315"/>
      <c r="U32" s="1437"/>
      <c r="V32" s="2329" t="str">
        <f>IF(TITLE_DATE_PR_CHANGE="",IF(TITLE_DATE_PR="","",TITLE_DATE_PR),TITLE_DATE_PR_CHANGE)</f>
        <v>46008.55446759259</v>
      </c>
      <c r="W32" s="2329"/>
      <c r="X32" s="2329"/>
      <c r="Y32" s="2329"/>
      <c r="Z32" s="2329"/>
      <c r="AA32" s="2329"/>
      <c r="AB32" s="2329"/>
      <c r="AC32" s="2329"/>
      <c r="AD32" s="2329"/>
      <c r="AE32" s="2329"/>
      <c r="AF32" s="391"/>
      <c r="AG32" s="2329" t="str">
        <f>IF(TITLE_DATE_PR_CHANGE="",IF(TITLE_DATE_PR="","",TITLE_DATE_PR),TITLE_DATE_PR_CHANGE)</f>
        <v>46008.55446759259</v>
      </c>
      <c r="AH32" s="2329"/>
      <c r="AI32" s="2329"/>
      <c r="AJ32" s="2329"/>
      <c r="AK32" s="2329"/>
      <c r="AL32" s="2329"/>
      <c r="AM32" s="2329"/>
      <c r="AN32" s="2329"/>
      <c r="AO32" s="2329"/>
      <c r="AP32" s="2329"/>
      <c r="AQ32" s="391"/>
      <c r="AR32" s="391"/>
      <c r="AS32" s="345"/>
      <c r="AT32" s="433"/>
      <c r="AU32" s="433"/>
      <c r="AV32" s="433"/>
      <c r="AW32" s="433"/>
      <c r="AX32" s="433"/>
      <c r="AY32" s="483">
        <v>0</v>
      </c>
    </row>
    <row s="6339" customFormat="1" customHeight="1" ht="18.75" hidden="1">
      <c r="A33" s="1433"/>
      <c r="B33" s="1433"/>
      <c r="C33" s="1433"/>
      <c r="D33" s="1433"/>
      <c r="E33" s="1433"/>
      <c r="F33" s="1433"/>
      <c r="G33" s="1433"/>
      <c r="H33" s="1433"/>
      <c r="I33" s="1433"/>
      <c r="J33" s="1433"/>
      <c r="K33" s="1433"/>
      <c r="L33" s="1434"/>
      <c r="M33" s="1433"/>
      <c r="N33" s="1433"/>
      <c r="O33" s="1433"/>
      <c r="S33" s="2315" t="s">
        <v>432</v>
      </c>
      <c r="T33" s="2315"/>
      <c r="U33" s="1437"/>
      <c r="V33" s="2316" t="str">
        <f>IF(TITLE_NUMBER_PR_CHANGE="",IF(TITLE_NUMBER_PR="","",TITLE_NUMBER_PR),TITLE_NUMBER_PR_CHANGE)</f>
        <v>57</v>
      </c>
      <c r="W33" s="2316"/>
      <c r="X33" s="2316"/>
      <c r="Y33" s="2316"/>
      <c r="Z33" s="2316"/>
      <c r="AA33" s="2316"/>
      <c r="AB33" s="2316"/>
      <c r="AC33" s="2316"/>
      <c r="AD33" s="2316"/>
      <c r="AE33" s="2316"/>
      <c r="AF33" s="391"/>
      <c r="AG33" s="2316" t="str">
        <f>IF(TITLE_NUMBER_PR_CHANGE="",IF(TITLE_NUMBER_PR="","",TITLE_NUMBER_PR),TITLE_NUMBER_PR_CHANGE)</f>
        <v>57</v>
      </c>
      <c r="AH33" s="2316"/>
      <c r="AI33" s="2316"/>
      <c r="AJ33" s="2316"/>
      <c r="AK33" s="2316"/>
      <c r="AL33" s="2316"/>
      <c r="AM33" s="2316"/>
      <c r="AN33" s="2316"/>
      <c r="AO33" s="2316"/>
      <c r="AP33" s="2316"/>
      <c r="AQ33" s="391"/>
      <c r="AR33" s="391"/>
      <c r="AS33" s="345"/>
      <c r="AT33" s="433"/>
      <c r="AU33" s="433"/>
      <c r="AV33" s="433"/>
      <c r="AW33" s="433"/>
      <c r="AX33" s="433"/>
      <c r="AY33" s="483">
        <v>0</v>
      </c>
    </row>
    <row s="633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433</v>
      </c>
      <c r="AG34" s="391"/>
      <c r="AH34" s="1700"/>
      <c r="AI34" s="1700"/>
      <c r="AJ34" s="1700"/>
      <c r="AK34" s="1700"/>
      <c r="AL34" s="1700"/>
      <c r="AM34" s="391"/>
      <c r="AN34" s="391"/>
      <c r="AO34" s="391"/>
      <c r="AP34" s="391"/>
      <c r="AQ34" s="343" t="s">
        <v>433</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309</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310</v>
      </c>
      <c r="AY36" s="1220">
        <v>14</v>
      </c>
    </row>
    <row customHeight="1" ht="14.699999999999998">
      <c r="Q37" s="441"/>
      <c r="R37" s="441"/>
      <c r="S37" s="2338" t="s">
        <v>91</v>
      </c>
      <c r="T37" s="2274" t="s">
        <v>434</v>
      </c>
      <c r="U37" s="366"/>
      <c r="V37" s="2339" t="s">
        <v>435</v>
      </c>
      <c r="W37" s="2340"/>
      <c r="X37" s="2340"/>
      <c r="Y37" s="2340"/>
      <c r="Z37" s="2340"/>
      <c r="AA37" s="2340"/>
      <c r="AB37" s="2340"/>
      <c r="AC37" s="2340"/>
      <c r="AD37" s="2340"/>
      <c r="AE37" s="2341"/>
      <c r="AF37" s="2342" t="s">
        <v>436</v>
      </c>
      <c r="AG37" s="2339" t="s">
        <v>435</v>
      </c>
      <c r="AH37" s="2340"/>
      <c r="AI37" s="2340"/>
      <c r="AJ37" s="2340"/>
      <c r="AK37" s="2340"/>
      <c r="AL37" s="2340"/>
      <c r="AM37" s="2340"/>
      <c r="AN37" s="2340"/>
      <c r="AO37" s="2340"/>
      <c r="AP37" s="2341"/>
      <c r="AQ37" s="2342" t="s">
        <v>437</v>
      </c>
      <c r="AR37" s="2345" t="s">
        <v>438</v>
      </c>
      <c r="AS37" s="2192"/>
      <c r="AY37" s="1220">
        <v>14</v>
      </c>
    </row>
    <row s="5796"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545</v>
      </c>
      <c r="W38" s="2430" t="s">
        <v>546</v>
      </c>
      <c r="X38" s="2430"/>
      <c r="Y38" s="2430"/>
      <c r="Z38" s="2430" t="s">
        <v>547</v>
      </c>
      <c r="AA38" s="2430"/>
      <c r="AB38" s="2430"/>
      <c r="AC38" s="2359" t="s">
        <v>442</v>
      </c>
      <c r="AD38" s="2378"/>
      <c r="AE38" s="2379"/>
      <c r="AF38" s="2343"/>
      <c r="AG38" s="2431" t="s">
        <v>545</v>
      </c>
      <c r="AH38" s="2430" t="s">
        <v>546</v>
      </c>
      <c r="AI38" s="2430"/>
      <c r="AJ38" s="2430"/>
      <c r="AK38" s="2430" t="s">
        <v>547</v>
      </c>
      <c r="AL38" s="2430"/>
      <c r="AM38" s="2430"/>
      <c r="AN38" s="2359" t="s">
        <v>442</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548</v>
      </c>
      <c r="X39" s="2430" t="s">
        <v>549</v>
      </c>
      <c r="Y39" s="2430"/>
      <c r="Z39" s="2430" t="s">
        <v>550</v>
      </c>
      <c r="AA39" s="2430" t="s">
        <v>549</v>
      </c>
      <c r="AB39" s="2430"/>
      <c r="AC39" s="2360"/>
      <c r="AD39" s="2380"/>
      <c r="AE39" s="2381"/>
      <c r="AF39" s="2343"/>
      <c r="AG39" s="2431"/>
      <c r="AH39" s="2430" t="s">
        <v>548</v>
      </c>
      <c r="AI39" s="2430" t="s">
        <v>549</v>
      </c>
      <c r="AJ39" s="2430"/>
      <c r="AK39" s="2430" t="s">
        <v>550</v>
      </c>
      <c r="AL39" s="2430" t="s">
        <v>549</v>
      </c>
      <c r="AM39" s="2430"/>
      <c r="AN39" s="2360"/>
      <c r="AO39" s="2380"/>
      <c r="AP39" s="2381"/>
      <c r="AQ39" s="2343"/>
      <c r="AR39" s="2346"/>
      <c r="AS39" s="2192"/>
      <c r="AY39" s="1220">
        <v>19</v>
      </c>
    </row>
    <row customHeight="1" ht="61.949999999999996">
      <c r="A40" s="1435"/>
      <c r="B40" s="1435" t="s">
        <v>138</v>
      </c>
      <c r="C40" s="1435" t="s">
        <v>139</v>
      </c>
      <c r="D40" s="1435" t="s">
        <v>140</v>
      </c>
      <c r="E40" s="1429" t="s">
        <v>443</v>
      </c>
      <c r="F40" s="1429" t="s">
        <v>444</v>
      </c>
      <c r="G40" s="1429" t="s">
        <v>445</v>
      </c>
      <c r="H40" s="1429"/>
      <c r="I40" s="1429" t="s">
        <v>503</v>
      </c>
      <c r="J40" s="1429" t="s">
        <v>448</v>
      </c>
      <c r="K40" s="1429" t="s">
        <v>504</v>
      </c>
      <c r="L40" s="1429" t="s">
        <v>424</v>
      </c>
      <c r="Q40" s="441"/>
      <c r="R40" s="441"/>
      <c r="S40" s="2338"/>
      <c r="T40" s="2274"/>
      <c r="U40" s="367"/>
      <c r="V40" s="2431"/>
      <c r="W40" s="2430"/>
      <c r="X40" s="2048" t="s">
        <v>551</v>
      </c>
      <c r="Y40" s="2048" t="s">
        <v>552</v>
      </c>
      <c r="Z40" s="2430"/>
      <c r="AA40" s="2048" t="s">
        <v>553</v>
      </c>
      <c r="AB40" s="2048" t="s">
        <v>554</v>
      </c>
      <c r="AC40" s="1554" t="s">
        <v>452</v>
      </c>
      <c r="AD40" s="2335" t="s">
        <v>453</v>
      </c>
      <c r="AE40" s="2336"/>
      <c r="AF40" s="2344"/>
      <c r="AG40" s="2431"/>
      <c r="AH40" s="2430"/>
      <c r="AI40" s="2048" t="s">
        <v>551</v>
      </c>
      <c r="AJ40" s="2048" t="s">
        <v>552</v>
      </c>
      <c r="AK40" s="2430"/>
      <c r="AL40" s="2048" t="s">
        <v>553</v>
      </c>
      <c r="AM40" s="2048" t="s">
        <v>554</v>
      </c>
      <c r="AN40" s="1554" t="s">
        <v>452</v>
      </c>
      <c r="AO40" s="2335" t="s">
        <v>453</v>
      </c>
      <c r="AP40" s="2336"/>
      <c r="AQ40" s="2344"/>
      <c r="AR40" s="2347"/>
      <c r="AS40" s="2192"/>
      <c r="AY40" s="1220">
        <v>59</v>
      </c>
    </row>
    <row s="4600"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265</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265</v>
      </c>
      <c r="B43" s="1428" t="s">
        <v>266</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406</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407</v>
      </c>
      <c r="AU43" s="565"/>
      <c r="AV43" s="565" t="str">
        <f>IF(T43="","",T43)</f>
        <v>Территория действия тарифа</v>
      </c>
      <c r="AW43" s="565"/>
      <c r="AX43" s="565"/>
      <c r="AY43" s="1220">
        <v>23</v>
      </c>
    </row>
    <row customHeight="1" ht="24">
      <c r="A44" s="1428" t="s">
        <v>265</v>
      </c>
      <c r="B44" s="1428" t="s">
        <v>266</v>
      </c>
      <c r="C44" s="1428" t="s">
        <v>267</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544</v>
      </c>
      <c r="AU44" s="565"/>
      <c r="AV44" s="565" t="str">
        <f>IF(T44="","",T44)</f>
        <v>Наименование централизованной системы горячего водоснабжения</v>
      </c>
      <c r="AW44" s="565"/>
      <c r="AX44" s="565"/>
      <c r="AY44" s="1220">
        <v>23</v>
      </c>
    </row>
    <row customHeight="1" ht="24">
      <c r="A45" s="1428" t="s">
        <v>265</v>
      </c>
      <c r="B45" s="1428" t="s">
        <v>266</v>
      </c>
      <c r="C45" s="1428" t="s">
        <v>267</v>
      </c>
      <c r="D45" s="1428" t="s">
        <v>556</v>
      </c>
      <c r="E45" s="2324"/>
      <c r="F45" s="2324"/>
      <c r="G45" s="2324"/>
      <c r="H45" s="2324"/>
      <c r="I45" s="2321" t="str">
        <f>S44&amp;".1"</f>
        <v>...1</v>
      </c>
      <c r="J45" s="1428"/>
      <c r="K45" s="1428"/>
      <c r="L45" s="1429"/>
      <c r="P45" s="2322">
        <v>1</v>
      </c>
      <c r="Q45" s="1546"/>
      <c r="R45" s="421"/>
      <c r="S45" s="1558" t="str">
        <f>$I45</f>
        <v>...1</v>
      </c>
      <c r="T45" s="350" t="s">
        <v>496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497</v>
      </c>
      <c r="AU45" s="565"/>
      <c r="AV45" s="565" t="str">
        <f>IF(T45="","",T45)</f>
        <v>Наименование признака дифференциации</v>
      </c>
      <c r="AW45" s="565"/>
      <c r="AX45" s="565"/>
      <c r="AY45" s="1220">
        <v>23</v>
      </c>
    </row>
    <row customHeight="1" ht="24">
      <c r="A46" s="1428" t="s">
        <v>265</v>
      </c>
      <c r="B46" s="1428" t="s">
        <v>266</v>
      </c>
      <c r="C46" s="1428" t="s">
        <v>267</v>
      </c>
      <c r="D46" s="1428" t="s">
        <v>556</v>
      </c>
      <c r="E46" s="2324"/>
      <c r="F46" s="2324"/>
      <c r="G46" s="2324"/>
      <c r="H46" s="2324"/>
      <c r="I46" s="2351"/>
      <c r="J46" s="2321" t="str">
        <f>I45&amp;".1"</f>
        <v>...1.1</v>
      </c>
      <c r="K46" s="1428"/>
      <c r="L46" s="1429" t="s">
        <v>415</v>
      </c>
      <c r="P46" s="2322"/>
      <c r="Q46" s="2322">
        <v>1</v>
      </c>
      <c r="R46" s="422"/>
      <c r="S46" s="1558" t="str">
        <f>$J46</f>
        <v>...1.1</v>
      </c>
      <c r="T46" s="351" t="s">
        <v>416</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498</v>
      </c>
      <c r="AU46" s="565"/>
      <c r="AV46" s="565" t="str">
        <f>IF(T46="","",T46)</f>
        <v>Группа потребителей</v>
      </c>
      <c r="AW46" s="565"/>
      <c r="AX46" s="565"/>
      <c r="AY46" s="1220">
        <v>23</v>
      </c>
    </row>
    <row customHeight="1" ht="24">
      <c r="A47" s="1428" t="s">
        <v>265</v>
      </c>
      <c r="B47" s="1428" t="s">
        <v>266</v>
      </c>
      <c r="C47" s="1428" t="s">
        <v>267</v>
      </c>
      <c r="D47" s="1428" t="s">
        <v>556</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64</v>
      </c>
      <c r="AE47" s="2332"/>
      <c r="AF47" s="2333" t="s">
        <v>64</v>
      </c>
      <c r="AG47" s="816"/>
      <c r="AH47" s="816"/>
      <c r="AI47" s="816"/>
      <c r="AJ47" s="816"/>
      <c r="AK47" s="816"/>
      <c r="AL47" s="816"/>
      <c r="AM47" s="1322"/>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265</v>
      </c>
      <c r="B48" s="1428" t="s">
        <v>266</v>
      </c>
      <c r="C48" s="1428" t="s">
        <v>267</v>
      </c>
      <c r="D48" s="1428" t="s">
        <v>556</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265</v>
      </c>
      <c r="B49" s="1428" t="s">
        <v>266</v>
      </c>
      <c r="C49" s="1428" t="s">
        <v>267</v>
      </c>
      <c r="D49" s="1428" t="s">
        <v>556</v>
      </c>
      <c r="E49" s="2324"/>
      <c r="F49" s="2324"/>
      <c r="G49" s="2324"/>
      <c r="H49" s="2324"/>
      <c r="I49" s="2351"/>
      <c r="J49" s="2321"/>
      <c r="K49" s="1428"/>
      <c r="L49" s="1429"/>
      <c r="P49" s="2322"/>
      <c r="Q49" s="2322"/>
      <c r="R49" s="421"/>
      <c r="S49" s="1343"/>
      <c r="T49" s="352" t="s">
        <v>499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500</v>
      </c>
      <c r="AU49" s="565"/>
      <c r="AV49" s="565" t="str">
        <f>IF(T49="","",T49)</f>
        <v>Добавить значение признака дифференциации</v>
      </c>
      <c r="AW49" s="565"/>
      <c r="AX49" s="565"/>
      <c r="AY49" s="1220">
        <v>20</v>
      </c>
    </row>
    <row customHeight="1" ht="22.049999999999997">
      <c r="A50" s="1428" t="s">
        <v>265</v>
      </c>
      <c r="B50" s="1428" t="s">
        <v>266</v>
      </c>
      <c r="C50" s="1428" t="s">
        <v>267</v>
      </c>
      <c r="D50" s="1428" t="s">
        <v>556</v>
      </c>
      <c r="E50" s="2324"/>
      <c r="F50" s="2324"/>
      <c r="G50" s="2324"/>
      <c r="H50" s="2324"/>
      <c r="I50" s="2321"/>
      <c r="J50" s="1428"/>
      <c r="K50" s="1428"/>
      <c r="L50" s="1429"/>
      <c r="P50" s="2322"/>
      <c r="Q50" s="1546"/>
      <c r="R50" s="421"/>
      <c r="S50" s="1343"/>
      <c r="T50" s="430" t="s">
        <v>421</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265</v>
      </c>
      <c r="B51" s="1428" t="s">
        <v>266</v>
      </c>
      <c r="C51" s="1428" t="s">
        <v>267</v>
      </c>
      <c r="D51" s="1428" t="s">
        <v>556</v>
      </c>
      <c r="E51" s="2324"/>
      <c r="F51" s="2324"/>
      <c r="G51" s="2324"/>
      <c r="H51" s="2323"/>
      <c r="I51" s="1428"/>
      <c r="J51" s="1428"/>
      <c r="K51" s="1428"/>
      <c r="L51" s="1429"/>
      <c r="M51" s="1430"/>
      <c r="N51" s="1430"/>
      <c r="O51" s="602"/>
      <c r="P51" s="425"/>
      <c r="Q51" s="440"/>
      <c r="R51" s="420"/>
      <c r="S51" s="1343"/>
      <c r="T51" s="437" t="s">
        <v>501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5305" customFormat="1" customHeight="1" ht="0">
      <c r="A52" s="1408" t="s">
        <v>265</v>
      </c>
      <c r="B52" s="1408" t="s">
        <v>266</v>
      </c>
      <c r="C52" s="1379"/>
      <c r="D52" s="1379"/>
      <c r="E52" s="2324"/>
      <c r="F52" s="2323"/>
      <c r="G52" s="1379"/>
      <c r="H52" s="1379"/>
      <c r="I52" s="1379"/>
      <c r="J52" s="1379"/>
      <c r="K52" s="1379"/>
      <c r="L52" s="1559"/>
      <c r="M52" s="1386"/>
      <c r="N52" s="1386"/>
      <c r="P52" s="1381"/>
      <c r="Q52" s="1382"/>
      <c r="R52" s="1381"/>
      <c r="S52" s="1387"/>
      <c r="T52" s="1390" t="s">
        <v>171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5305" customFormat="1" customHeight="1" ht="0">
      <c r="A53" s="1408" t="s">
        <v>265</v>
      </c>
      <c r="B53" s="1408"/>
      <c r="C53" s="1408"/>
      <c r="D53" s="1408"/>
      <c r="E53" s="2323"/>
      <c r="F53" s="1408"/>
      <c r="G53" s="1408"/>
      <c r="H53" s="1408"/>
      <c r="I53" s="1408"/>
      <c r="J53" s="1408"/>
      <c r="K53" s="1408"/>
      <c r="L53" s="1411"/>
      <c r="M53" s="1386"/>
      <c r="N53" s="1386"/>
      <c r="O53" s="583"/>
      <c r="P53" s="445"/>
      <c r="Q53" s="1409"/>
      <c r="R53" s="445"/>
      <c r="S53" s="1387"/>
      <c r="T53" s="1390" t="s">
        <v>172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5305"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F88DF-8F58-4FD1-26C8-0.506CF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45" width="11.57421875" hidden="1" customWidth="1"/>
    <col min="2" max="2" style="5745" width="11.00390625" hidden="1" customWidth="1"/>
    <col min="3" max="3" style="5745" width="10.57421875" hidden="1"/>
    <col min="4" max="4" style="5745" width="12.8515625" hidden="1" customWidth="1"/>
    <col min="5" max="5" style="5745" width="10.00390625" hidden="1" customWidth="1"/>
    <col min="6" max="6" style="5745" width="8.7109375" hidden="1" customWidth="1"/>
    <col min="7" max="7" style="5745" width="7.57421875" hidden="1" customWidth="1"/>
    <col min="8" max="8" style="5745" width="11.421875" hidden="1" customWidth="1"/>
    <col min="9" max="9" style="5745" width="12.00390625" hidden="1" customWidth="1"/>
    <col min="10" max="10" style="5745" width="9.8515625" hidden="1" customWidth="1"/>
    <col min="11" max="11" style="5745" width="11.421875" hidden="1" customWidth="1"/>
    <col min="12" max="12" style="6261" width="19.140625" hidden="1" customWidth="1"/>
    <col min="13" max="14" style="4989" width="12.28125" hidden="1" customWidth="1"/>
    <col min="15" max="15" style="4989" width="23.421875" hidden="1" customWidth="1"/>
    <col min="16" max="16" style="4989" width="3.7109375" hidden="1" customWidth="1"/>
    <col min="17" max="17" style="3698" width="3.7109375" hidden="1" customWidth="1"/>
    <col min="18" max="18" style="5766" width="3.00390625" customWidth="1"/>
    <col min="19" max="19" style="6453" width="12.00390625" customWidth="1"/>
    <col min="20" max="20" style="5796" width="31.00390625" customWidth="1"/>
    <col min="21" max="21" style="5796" width="0.140625" customWidth="1"/>
    <col min="22" max="25" style="5796" width="21.7109375" hidden="1" customWidth="1"/>
    <col min="26" max="26" style="5796" width="11.7109375" hidden="1" customWidth="1"/>
    <col min="27" max="27" style="5796" width="3.7109375" hidden="1" customWidth="1"/>
    <col min="28" max="28" style="5796" width="11.7109375" hidden="1" customWidth="1"/>
    <col min="29" max="29" style="5796" width="8.57421875" hidden="1" customWidth="1"/>
    <col min="30" max="30" style="5796" width="3.7109375" customWidth="1"/>
    <col min="31" max="32" style="5796" width="3.00390625" customWidth="1"/>
    <col min="33" max="33" style="5796" width="24.00390625" customWidth="1"/>
    <col min="34" max="34" style="5796" width="3.7109375" customWidth="1"/>
    <col min="35" max="36" style="5796" width="3.00390625" customWidth="1"/>
    <col min="37" max="37" style="5796" width="24.00390625" customWidth="1"/>
    <col min="38" max="38" style="5796" width="3.7109375" customWidth="1"/>
    <col min="39" max="40" style="5796" width="3.00390625" customWidth="1"/>
    <col min="41" max="41" style="5796" width="18.00390625" customWidth="1"/>
    <col min="42" max="42" style="5796" width="3.7109375" customWidth="1"/>
    <col min="43" max="44" style="5796" width="3.00390625" customWidth="1"/>
    <col min="45" max="45" style="5796" width="18.00390625" customWidth="1"/>
    <col min="46" max="49" style="5796" width="21.00390625" customWidth="1"/>
    <col min="50" max="50" style="5796" width="11.00390625" customWidth="1"/>
    <col min="51" max="51" style="5796" width="3.7109375" customWidth="1"/>
    <col min="52" max="52" style="5796" width="11.00390625" customWidth="1"/>
    <col min="53" max="53" style="5796" width="8.57421875" hidden="1" customWidth="1"/>
    <col min="54" max="54" style="5796" width="4.00390625" customWidth="1"/>
    <col min="55" max="55" style="5796" width="115.00390625" customWidth="1"/>
    <col min="56" max="60" style="5305" width="10.00390625" customWidth="1"/>
    <col min="61" max="61" style="5796"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406</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407</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544</v>
      </c>
      <c r="BE4" s="565"/>
      <c r="BF4" s="565" t="str">
        <f>IF(T4="","",T4)</f>
        <v>Наименование централизованной системы горячего водоснабжения</v>
      </c>
      <c r="BG4" s="565"/>
      <c r="BH4" s="565"/>
      <c r="BI4" s="1220">
        <v>0</v>
      </c>
    </row>
    <row s="5305"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411</v>
      </c>
      <c r="BE5" s="565"/>
      <c r="BF5" s="565" t="str">
        <f>IF(T5="","",T5)</f>
        <v/>
      </c>
      <c r="BG5" s="565"/>
      <c r="BH5" s="565"/>
      <c r="BI5" s="576">
        <v>0</v>
      </c>
    </row>
    <row s="5305" customFormat="1" customHeight="1" ht="14.25" hidden="1">
      <c r="A6" s="1408"/>
      <c r="B6" s="1408"/>
      <c r="C6" s="1408"/>
      <c r="D6" s="1408"/>
      <c r="E6" s="2324"/>
      <c r="F6" s="2324"/>
      <c r="G6" s="2324"/>
      <c r="H6" s="2324"/>
      <c r="I6" s="2321" t="str">
        <f>S5&amp;".1"</f>
        <v>.1</v>
      </c>
      <c r="J6" s="1408"/>
      <c r="K6" s="1408"/>
      <c r="L6" s="1411" t="s">
        <v>412</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5305"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5305"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5305"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5305"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5305"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5305"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5028" customFormat="1" customHeight="1" ht="14.25" hidden="1">
      <c r="M24" s="1573"/>
      <c r="N24" s="1573"/>
      <c r="O24" s="1574" t="s">
        <v>424</v>
      </c>
      <c r="P24" s="1573"/>
      <c r="Q24" s="1575"/>
      <c r="R24" s="1575"/>
      <c r="AA24" s="1572" t="s">
        <v>426</v>
      </c>
      <c r="AC24" s="1572" t="s">
        <v>427</v>
      </c>
      <c r="AD24" s="1572" t="s">
        <v>479</v>
      </c>
      <c r="AH24" s="1572" t="s">
        <v>479</v>
      </c>
      <c r="AK24" s="1572" t="s">
        <v>519</v>
      </c>
      <c r="AL24" s="1572" t="s">
        <v>479</v>
      </c>
      <c r="AP24" s="1572" t="s">
        <v>479</v>
      </c>
      <c r="AY24" s="1572" t="s">
        <v>426</v>
      </c>
      <c r="BA24" s="1572" t="s">
        <v>427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Нарьян-Марское МУ ПОКиТС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6339"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УГРЦТ НАО</v>
      </c>
      <c r="W31" s="2316"/>
      <c r="X31" s="2316"/>
      <c r="Y31" s="2316"/>
      <c r="Z31" s="2316"/>
      <c r="AA31" s="2316"/>
      <c r="AB31" s="2316"/>
      <c r="AC31" s="391"/>
      <c r="AD31" s="2316" t="str">
        <f>IF(TITLE_NAME_OR_PR_CHANGE="",IF(TITLE_NAME_OR_PR="","",TITLE_NAME_OR_PR),TITLE_NAME_OR_PR_CHANGE)</f>
        <v>УГРЦТ НАО</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6339" customFormat="1" customHeight="1" ht="18.75">
      <c r="A32" s="1433"/>
      <c r="B32" s="1433"/>
      <c r="C32" s="1433"/>
      <c r="D32" s="1433"/>
      <c r="E32" s="1433"/>
      <c r="F32" s="1433"/>
      <c r="G32" s="1433"/>
      <c r="H32" s="1433"/>
      <c r="I32" s="1433"/>
      <c r="J32" s="1433"/>
      <c r="K32" s="1433"/>
      <c r="L32" s="1434"/>
      <c r="M32" s="1433"/>
      <c r="N32" s="1433"/>
      <c r="O32" s="1433"/>
      <c r="P32" s="1433"/>
      <c r="Q32" s="1433"/>
      <c r="S32" s="2315" t="s">
        <v>429</v>
      </c>
      <c r="T32" s="2315"/>
      <c r="U32" s="1437"/>
      <c r="V32" s="2329" t="str">
        <f>IF(TITLE_DATE_PR_CHANGE="",IF(TITLE_DATE_PR="","",TITLE_DATE_PR),TITLE_DATE_PR_CHANGE)</f>
        <v>46008.55446759259</v>
      </c>
      <c r="W32" s="2329"/>
      <c r="X32" s="2329"/>
      <c r="Y32" s="2329"/>
      <c r="Z32" s="2329"/>
      <c r="AA32" s="2329"/>
      <c r="AB32" s="2329"/>
      <c r="AC32" s="391"/>
      <c r="AD32" s="2329" t="str">
        <f>IF(TITLE_DATE_PR_CHANGE="",IF(TITLE_DATE_PR="","",TITLE_DATE_PR),TITLE_DATE_PR_CHANGE)</f>
        <v>46008.55446759259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6339" customFormat="1" customHeight="1" ht="18.75">
      <c r="A33" s="1433"/>
      <c r="B33" s="1433"/>
      <c r="C33" s="1433"/>
      <c r="D33" s="1433"/>
      <c r="E33" s="1433"/>
      <c r="F33" s="1433"/>
      <c r="G33" s="1433"/>
      <c r="H33" s="1433"/>
      <c r="I33" s="1433"/>
      <c r="J33" s="1433"/>
      <c r="K33" s="1433"/>
      <c r="L33" s="1434"/>
      <c r="M33" s="1433"/>
      <c r="N33" s="1433"/>
      <c r="O33" s="1433"/>
      <c r="P33" s="1433"/>
      <c r="Q33" s="1433"/>
      <c r="S33" s="2315" t="s">
        <v>430</v>
      </c>
      <c r="T33" s="2315"/>
      <c r="U33" s="1437"/>
      <c r="V33" s="2316" t="str">
        <f>IF(TITLE_NUMBER_PR_CHANGE="",IF(TITLE_NUMBER_PR="","",TITLE_NUMBER_PR),TITLE_NUMBER_PR_CHANGE)</f>
        <v>57</v>
      </c>
      <c r="W33" s="2316"/>
      <c r="X33" s="2316"/>
      <c r="Y33" s="2316"/>
      <c r="Z33" s="2316"/>
      <c r="AA33" s="2316"/>
      <c r="AB33" s="2316"/>
      <c r="AC33" s="391"/>
      <c r="AD33" s="2316" t="str">
        <f>IF(TITLE_NUMBER_PR_CHANGE="",IF(TITLE_NUMBER_PR="","",TITLE_NUMBER_PR),TITLE_NUMBER_PR_CHANGE)</f>
        <v>57</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6339"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http://pravo.gov.ru</v>
      </c>
      <c r="W34" s="2316"/>
      <c r="X34" s="2316"/>
      <c r="Y34" s="2316"/>
      <c r="Z34" s="2316"/>
      <c r="AA34" s="2316"/>
      <c r="AB34" s="2316"/>
      <c r="AC34" s="391"/>
      <c r="AD34" s="2316" t="str">
        <f>IF(TITLE_IST_PUB_CHANGE="",IF(TITLE_IST_PUB="","",TITLE_IST_PUB),TITLE_IST_PUB_CHANGE)</f>
        <v>http://pravo.gov.ru</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633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429</v>
      </c>
      <c r="T36" s="2315"/>
      <c r="U36" s="1437"/>
      <c r="V36" s="2329" t="str">
        <f>IF(TITLE_DATE_PR_CHANGE="",IF(TITLE_DATE_PR="","",TITLE_DATE_PR),TITLE_DATE_PR_CHANGE)</f>
        <v>46008.55446759259</v>
      </c>
      <c r="W36" s="2329"/>
      <c r="X36" s="2329"/>
      <c r="Y36" s="2329"/>
      <c r="Z36" s="2329"/>
      <c r="AA36" s="2329"/>
      <c r="AB36" s="2329"/>
      <c r="AC36" s="391"/>
      <c r="AD36" s="2329" t="str">
        <f>IF(TITLE_DATE_PR_CHANGE="",IF(TITLE_DATE_PR="","",TITLE_DATE_PR),TITLE_DATE_PR_CHANGE)</f>
        <v>46008.55446759259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633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430</v>
      </c>
      <c r="T37" s="2315"/>
      <c r="U37" s="1437"/>
      <c r="V37" s="2316" t="str">
        <f>IF(TITLE_NUMBER_PR_CHANGE="",IF(TITLE_NUMBER_PR="","",TITLE_NUMBER_PR),TITLE_NUMBER_PR_CHANGE)</f>
        <v>57</v>
      </c>
      <c r="W37" s="2316"/>
      <c r="X37" s="2316"/>
      <c r="Y37" s="2316"/>
      <c r="Z37" s="2316"/>
      <c r="AA37" s="2316"/>
      <c r="AB37" s="2316"/>
      <c r="AC37" s="391"/>
      <c r="AD37" s="2316" t="str">
        <f>IF(TITLE_NUMBER_PR_CHANGE="",IF(TITLE_NUMBER_PR="","",TITLE_NUMBER_PR),TITLE_NUMBER_PR_CHANGE)</f>
        <v>57</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633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309</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310</v>
      </c>
      <c r="BI40" s="1220">
        <v>14</v>
      </c>
    </row>
    <row customHeight="1" ht="14.699999999999998">
      <c r="Q41" s="356"/>
      <c r="R41" s="441"/>
      <c r="S41" s="2338" t="s">
        <v>91</v>
      </c>
      <c r="T41" s="2274" t="s">
        <v>520</v>
      </c>
      <c r="U41" s="366"/>
      <c r="V41" s="2339" t="s">
        <v>435</v>
      </c>
      <c r="W41" s="2340"/>
      <c r="X41" s="2340"/>
      <c r="Y41" s="2340"/>
      <c r="Z41" s="2340"/>
      <c r="AA41" s="2340"/>
      <c r="AB41" s="2341"/>
      <c r="AC41" s="2342" t="s">
        <v>436</v>
      </c>
      <c r="AD41" s="2393" t="s">
        <v>521</v>
      </c>
      <c r="AE41" s="2356"/>
      <c r="AF41" s="2356"/>
      <c r="AG41" s="2394"/>
      <c r="AH41" s="2393" t="s">
        <v>522</v>
      </c>
      <c r="AI41" s="2356"/>
      <c r="AJ41" s="2356"/>
      <c r="AK41" s="2394"/>
      <c r="AL41" s="2393" t="s">
        <v>523</v>
      </c>
      <c r="AM41" s="2356"/>
      <c r="AN41" s="2356"/>
      <c r="AO41" s="2394"/>
      <c r="AP41" s="2393" t="s">
        <v>524</v>
      </c>
      <c r="AQ41" s="2356"/>
      <c r="AR41" s="2356"/>
      <c r="AS41" s="2394"/>
      <c r="AT41" s="2339" t="s">
        <v>435</v>
      </c>
      <c r="AU41" s="2340"/>
      <c r="AV41" s="2340"/>
      <c r="AW41" s="2340"/>
      <c r="AX41" s="2340"/>
      <c r="AY41" s="2340"/>
      <c r="AZ41" s="2341"/>
      <c r="BA41" s="2342" t="s">
        <v>436</v>
      </c>
      <c r="BB41" s="2345" t="s">
        <v>438</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443</v>
      </c>
      <c r="F44" s="1429" t="s">
        <v>444</v>
      </c>
      <c r="G44" s="1429" t="s">
        <v>445</v>
      </c>
      <c r="H44" s="1429" t="s">
        <v>446</v>
      </c>
      <c r="I44" s="1429" t="s">
        <v>447</v>
      </c>
      <c r="J44" s="1429" t="s">
        <v>448</v>
      </c>
      <c r="K44" s="1429" t="s">
        <v>449</v>
      </c>
      <c r="L44" s="1429" t="s">
        <v>424</v>
      </c>
      <c r="Q44" s="356"/>
      <c r="R44" s="441"/>
      <c r="S44" s="2338"/>
      <c r="T44" s="2274"/>
      <c r="U44" s="367"/>
      <c r="V44" s="1544" t="s">
        <v>489</v>
      </c>
      <c r="W44" s="1544" t="s">
        <v>490</v>
      </c>
      <c r="X44" s="1544" t="s">
        <v>489</v>
      </c>
      <c r="Y44" s="1544" t="s">
        <v>490</v>
      </c>
      <c r="Z44" s="1554" t="s">
        <v>452</v>
      </c>
      <c r="AA44" s="2335" t="s">
        <v>453</v>
      </c>
      <c r="AB44" s="2336"/>
      <c r="AC44" s="2344"/>
      <c r="AD44" s="2398"/>
      <c r="AE44" s="2399"/>
      <c r="AF44" s="2399"/>
      <c r="AG44" s="2400"/>
      <c r="AH44" s="2398"/>
      <c r="AI44" s="2399"/>
      <c r="AJ44" s="2399"/>
      <c r="AK44" s="2400"/>
      <c r="AL44" s="2398"/>
      <c r="AM44" s="2399"/>
      <c r="AN44" s="2399"/>
      <c r="AO44" s="2400"/>
      <c r="AP44" s="2398"/>
      <c r="AQ44" s="2399"/>
      <c r="AR44" s="2399"/>
      <c r="AS44" s="2400"/>
      <c r="AT44" s="1544" t="s">
        <v>489</v>
      </c>
      <c r="AU44" s="1544" t="s">
        <v>490</v>
      </c>
      <c r="AV44" s="1544" t="s">
        <v>489</v>
      </c>
      <c r="AW44" s="1544" t="s">
        <v>490</v>
      </c>
      <c r="AX44" s="1554" t="s">
        <v>452</v>
      </c>
      <c r="AY44" s="2335" t="s">
        <v>453</v>
      </c>
      <c r="AZ44" s="2336"/>
      <c r="BA44" s="2344"/>
      <c r="BB44" s="2347"/>
      <c r="BC44" s="2192"/>
      <c r="BI44" s="1220">
        <v>14</v>
      </c>
    </row>
    <row s="4600"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270</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270</v>
      </c>
      <c r="B47" s="1428" t="s">
        <v>271</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406</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407</v>
      </c>
      <c r="BE47" s="565"/>
      <c r="BF47" s="565" t="str">
        <f>IF(T47="","",T47)</f>
        <v>Территория действия тарифа</v>
      </c>
      <c r="BG47" s="565"/>
      <c r="BH47" s="565"/>
      <c r="BI47" s="1220">
        <v>21</v>
      </c>
    </row>
    <row customHeight="1" ht="35.699999999999996">
      <c r="A48" s="1428" t="s">
        <v>270</v>
      </c>
      <c r="B48" s="1428" t="s">
        <v>271</v>
      </c>
      <c r="C48" s="1428" t="s">
        <v>272</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544</v>
      </c>
      <c r="BE48" s="565"/>
      <c r="BF48" s="565" t="str">
        <f>IF(T48="","",T48)</f>
        <v>Наименование централизованной системы горячего водоснабжения</v>
      </c>
      <c r="BG48" s="565"/>
      <c r="BH48" s="565"/>
      <c r="BI48" s="1220">
        <v>34</v>
      </c>
    </row>
    <row s="5305" customFormat="1" customHeight="1" ht="0">
      <c r="A49" s="1408" t="s">
        <v>270</v>
      </c>
      <c r="B49" s="1408" t="s">
        <v>271</v>
      </c>
      <c r="C49" s="1408" t="s">
        <v>272</v>
      </c>
      <c r="D49" s="1408" t="s">
        <v>557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411</v>
      </c>
      <c r="BE49" s="565"/>
      <c r="BF49" s="565" t="str">
        <f>IF(T49="","",T49)</f>
        <v/>
      </c>
      <c r="BG49" s="565"/>
      <c r="BH49" s="565"/>
      <c r="BI49" s="576">
        <v>0</v>
      </c>
    </row>
    <row s="5305" customFormat="1" customHeight="1" ht="0">
      <c r="A50" s="1408" t="s">
        <v>270</v>
      </c>
      <c r="B50" s="1408" t="s">
        <v>271</v>
      </c>
      <c r="C50" s="1408" t="s">
        <v>272</v>
      </c>
      <c r="D50" s="1408" t="s">
        <v>557</v>
      </c>
      <c r="E50" s="2324"/>
      <c r="F50" s="2324"/>
      <c r="G50" s="2324"/>
      <c r="H50" s="2324"/>
      <c r="I50" s="2321" t="str">
        <f>S49&amp;".1"</f>
        <v>.1</v>
      </c>
      <c r="J50" s="1408"/>
      <c r="K50" s="1408"/>
      <c r="L50" s="1411" t="s">
        <v>412</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5305" customFormat="1" customHeight="1" ht="0">
      <c r="A51" s="1408" t="s">
        <v>270</v>
      </c>
      <c r="B51" s="1408" t="s">
        <v>271</v>
      </c>
      <c r="C51" s="1408" t="s">
        <v>272</v>
      </c>
      <c r="D51" s="1408" t="s">
        <v>557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270</v>
      </c>
      <c r="B52" s="1428" t="s">
        <v>271</v>
      </c>
      <c r="C52" s="1428" t="s">
        <v>272</v>
      </c>
      <c r="D52" s="1428" t="s">
        <v>557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270</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270</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270</v>
      </c>
      <c r="B56" s="1428" t="s">
        <v>271</v>
      </c>
      <c r="C56" s="1428" t="s">
        <v>272</v>
      </c>
      <c r="D56" s="1428" t="s">
        <v>557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270</v>
      </c>
      <c r="B57" s="1428" t="s">
        <v>271</v>
      </c>
      <c r="C57" s="1428" t="s">
        <v>272</v>
      </c>
      <c r="D57" s="1428" t="s">
        <v>557</v>
      </c>
      <c r="E57" s="2324"/>
      <c r="F57" s="2324"/>
      <c r="G57" s="2324"/>
      <c r="H57" s="2324"/>
      <c r="I57" s="2351"/>
      <c r="J57" s="2321"/>
      <c r="K57" s="1428"/>
      <c r="L57" s="1429"/>
      <c r="P57" s="2322"/>
      <c r="Q57" s="2322"/>
      <c r="R57" s="421"/>
      <c r="S57" s="1343"/>
      <c r="T57" s="352" t="s">
        <v>478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5305" customFormat="1" customHeight="1" ht="0">
      <c r="A58" s="1408" t="s">
        <v>270</v>
      </c>
      <c r="B58" s="1408" t="s">
        <v>271</v>
      </c>
      <c r="C58" s="1408" t="s">
        <v>272</v>
      </c>
      <c r="D58" s="1408" t="s">
        <v>557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5305" customFormat="1" customHeight="1" ht="0">
      <c r="A59" s="1408" t="s">
        <v>270</v>
      </c>
      <c r="B59" s="1408" t="s">
        <v>271</v>
      </c>
      <c r="C59" s="1408" t="s">
        <v>272</v>
      </c>
      <c r="D59" s="1408" t="s">
        <v>557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5305" customFormat="1" customHeight="1" ht="0">
      <c r="A60" s="1408" t="s">
        <v>270</v>
      </c>
      <c r="B60" s="1408" t="s">
        <v>271</v>
      </c>
      <c r="C60" s="1408" t="s">
        <v>272</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5305" customFormat="1" customHeight="1" ht="0">
      <c r="A61" s="1408" t="s">
        <v>270</v>
      </c>
      <c r="B61" s="1408" t="s">
        <v>271</v>
      </c>
      <c r="C61" s="1379"/>
      <c r="D61" s="1379"/>
      <c r="E61" s="2324"/>
      <c r="F61" s="2323"/>
      <c r="G61" s="1379"/>
      <c r="H61" s="1379"/>
      <c r="I61" s="1379"/>
      <c r="J61" s="1379"/>
      <c r="K61" s="1379"/>
      <c r="L61" s="1559"/>
      <c r="M61" s="1386"/>
      <c r="N61" s="1386"/>
      <c r="P61" s="1381"/>
      <c r="Q61" s="1382"/>
      <c r="R61" s="1381"/>
      <c r="S61" s="1387"/>
      <c r="T61" s="1390" t="s">
        <v>171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5305" customFormat="1" customHeight="1" ht="0">
      <c r="A62" s="1408" t="s">
        <v>270</v>
      </c>
      <c r="B62" s="1408"/>
      <c r="C62" s="1408"/>
      <c r="D62" s="1408"/>
      <c r="E62" s="2323"/>
      <c r="F62" s="1408"/>
      <c r="G62" s="1408"/>
      <c r="H62" s="1408"/>
      <c r="I62" s="1408"/>
      <c r="J62" s="1408"/>
      <c r="K62" s="1408"/>
      <c r="L62" s="1411"/>
      <c r="M62" s="1386"/>
      <c r="N62" s="1386"/>
      <c r="O62" s="583"/>
      <c r="P62" s="445"/>
      <c r="Q62" s="1409"/>
      <c r="R62" s="445"/>
      <c r="S62" s="1387"/>
      <c r="T62" s="1390" t="s">
        <v>172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5305"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8C3F5-8901-7FF8-EBB3-0.EE2D20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5180" width="10.7109375" hidden="1" customWidth="1"/>
    <col min="2" max="2" style="5745" width="16.8515625" hidden="1" customWidth="1"/>
    <col min="3" max="3" style="5305" width="5.57421875" hidden="1" customWidth="1"/>
    <col min="4" max="4" style="5796" width="3.00390625" customWidth="1"/>
    <col min="5" max="5" style="5796" width="7.00390625" customWidth="1"/>
    <col min="6" max="6" style="5796" width="54.00390625" customWidth="1"/>
    <col min="7" max="7" style="5796" width="10.00390625" customWidth="1"/>
    <col min="8" max="8" style="5796" width="40.7109375" hidden="1" customWidth="1"/>
    <col min="9" max="9" style="5796" width="40.7109375" customWidth="1"/>
    <col min="10" max="10" style="5796" width="102.00390625" customWidth="1"/>
    <col min="11" max="11" style="5745" width="9.00390625" customWidth="1"/>
    <col min="12" max="12" style="5305" width="5.00390625" customWidth="1"/>
    <col min="13" max="13" style="5305" width="3.00390625" customWidth="1"/>
    <col min="14" max="17" style="5745" width="3.00390625" customWidth="1"/>
    <col min="18" max="18" style="5305" width="10.00390625" customWidth="1"/>
    <col min="19" max="19" style="5745" width="34.00390625" customWidth="1"/>
    <col min="20" max="20" style="5745" width="9.00390625" customWidth="1"/>
    <col min="21" max="21" style="5250" width="8.00390625" customWidth="1"/>
    <col min="22" max="26" style="5745" width="8.00390625" customWidth="1"/>
    <col min="27" max="31" style="6040" width="8.00390625" customWidth="1"/>
    <col min="32" max="32" style="5796" width="9.140625" hidden="1"/>
  </cols>
  <sheetData>
    <row customHeight="1" ht="22.5" hidden="1">
      <c r="AF1" s="1696" t="s">
        <v>14</v>
      </c>
    </row>
    <row customHeight="1" ht="23.25" hidden="1">
      <c r="B2" s="2164"/>
      <c r="C2" s="1232" t="s">
        <v>558</v>
      </c>
      <c r="D2" s="1703"/>
      <c r="E2" s="611">
        <f>B2</f>
        <v>0</v>
      </c>
      <c r="F2" s="612"/>
      <c r="G2" s="1711" t="s">
        <v>559</v>
      </c>
      <c r="H2" s="1711" t="s">
        <v>559</v>
      </c>
      <c r="I2" s="1711" t="s">
        <v>559</v>
      </c>
      <c r="J2" s="354" t="s">
        <v>560</v>
      </c>
      <c r="K2" s="608"/>
      <c r="AF2" s="1696">
        <v>0</v>
      </c>
    </row>
    <row s="5305" customFormat="1" customHeight="1" ht="0.75" hidden="1">
      <c r="B3" s="2164"/>
      <c r="C3" s="1232"/>
      <c r="D3" s="613"/>
      <c r="E3" s="614"/>
      <c r="F3" s="615" t="s">
        <v>561</v>
      </c>
      <c r="G3" s="616"/>
      <c r="H3" s="616">
        <f>H4*H5+H7</f>
        <v>0</v>
      </c>
      <c r="I3" s="616">
        <f>I4*I5+I6</f>
        <v>0</v>
      </c>
      <c r="J3" s="617"/>
      <c r="AF3" s="1701">
        <v>0</v>
      </c>
    </row>
    <row customHeight="1" ht="23.25" hidden="1">
      <c r="B4" s="2164"/>
      <c r="C4" s="1232"/>
      <c r="D4" s="1703"/>
      <c r="E4" s="611" t="str">
        <f>B2&amp;".1"</f>
        <v>.1</v>
      </c>
      <c r="F4" s="618" t="s">
        <v>562</v>
      </c>
      <c r="G4" s="619"/>
      <c r="H4" s="606"/>
      <c r="I4" s="606"/>
      <c r="J4" s="354" t="s">
        <v>563</v>
      </c>
      <c r="K4" s="608"/>
      <c r="AF4" s="1696">
        <v>0</v>
      </c>
    </row>
    <row customHeight="1" ht="18.75" hidden="1">
      <c r="B5" s="2164"/>
      <c r="C5" s="1232"/>
      <c r="D5" s="1703"/>
      <c r="E5" s="611" t="str">
        <f>B2&amp;".2"</f>
        <v>.2</v>
      </c>
      <c r="F5" s="618" t="s">
        <v>564</v>
      </c>
      <c r="G5" s="1711" t="s">
        <v>565</v>
      </c>
      <c r="H5" s="606"/>
      <c r="I5" s="606"/>
      <c r="J5" s="354"/>
      <c r="K5" s="608"/>
      <c r="AF5" s="1696">
        <v>0</v>
      </c>
    </row>
    <row customHeight="1" ht="18.75" hidden="1">
      <c r="B6" s="2164"/>
      <c r="C6" s="1232"/>
      <c r="D6" s="1703"/>
      <c r="E6" s="611" t="str">
        <f>B2&amp;".3"</f>
        <v>.3</v>
      </c>
      <c r="F6" s="618" t="s">
        <v>566</v>
      </c>
      <c r="G6" s="1711" t="s">
        <v>565</v>
      </c>
      <c r="H6" s="606"/>
      <c r="I6" s="606"/>
      <c r="J6" s="354"/>
      <c r="K6" s="608"/>
      <c r="AF6" s="1696">
        <v>0</v>
      </c>
    </row>
    <row customHeight="1" ht="18.75" hidden="1">
      <c r="B7" s="2164"/>
      <c r="C7" s="1232"/>
      <c r="D7" s="1703"/>
      <c r="E7" s="611" t="str">
        <f>B2&amp;".4"</f>
        <v>.4</v>
      </c>
      <c r="F7" s="618" t="s">
        <v>567</v>
      </c>
      <c r="G7" s="1711" t="s">
        <v>559</v>
      </c>
      <c r="H7" s="620"/>
      <c r="I7" s="620"/>
      <c r="J7" s="354"/>
      <c r="K7" s="608"/>
      <c r="AF7" s="1696">
        <v>0</v>
      </c>
    </row>
    <row s="5745" customFormat="1" customHeight="1" ht="11.25" hidden="1">
      <c r="A8" s="1052"/>
      <c r="C8" s="1701"/>
      <c r="D8" s="602"/>
      <c r="H8" s="1225">
        <v>4</v>
      </c>
      <c r="I8" s="1225">
        <v>4</v>
      </c>
      <c r="L8" s="1701"/>
      <c r="M8" s="1701"/>
      <c r="R8" s="1701"/>
      <c r="AF8" s="1225">
        <v>0</v>
      </c>
    </row>
    <row s="5745" customFormat="1" customHeight="1" ht="22.5" hidden="1">
      <c r="A9" s="1052"/>
      <c r="C9" s="1701"/>
      <c r="D9" s="603"/>
      <c r="E9" s="1713"/>
      <c r="F9" s="605"/>
      <c r="G9" s="1711" t="s">
        <v>565</v>
      </c>
      <c r="H9" s="606"/>
      <c r="I9" s="606"/>
      <c r="J9" s="607" t="s">
        <v>568</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569</v>
      </c>
      <c r="H11" s="606"/>
      <c r="I11" s="606"/>
      <c r="J11" s="354" t="s">
        <v>570</v>
      </c>
      <c r="K11" s="608"/>
      <c r="AF11" s="1696">
        <v>0</v>
      </c>
    </row>
    <row customHeight="1" ht="11.25" hidden="1">
      <c r="AF12" s="1696">
        <v>0</v>
      </c>
    </row>
    <row customHeight="1" ht="22.5" hidden="1">
      <c r="D13" s="1703"/>
      <c r="E13" s="611"/>
      <c r="F13" s="605"/>
      <c r="G13" s="1034" t="s">
        <v>571</v>
      </c>
      <c r="H13" s="610"/>
      <c r="I13" s="610"/>
      <c r="J13" s="810" t="s">
        <v>572</v>
      </c>
      <c r="K13" s="608"/>
      <c r="AF13" s="1696">
        <v>0</v>
      </c>
    </row>
    <row customHeight="1" ht="11.25" hidden="1">
      <c r="AF14" s="1696">
        <v>0</v>
      </c>
    </row>
    <row customHeight="1" ht="22.5" hidden="1">
      <c r="D15" s="1703"/>
      <c r="E15" s="611"/>
      <c r="F15" s="605"/>
      <c r="G15" s="1711" t="s">
        <v>573</v>
      </c>
      <c r="H15" s="610"/>
      <c r="I15" s="610"/>
      <c r="J15" s="354" t="s">
        <v>574</v>
      </c>
      <c r="K15" s="608"/>
      <c r="AF15" s="1696">
        <v>0</v>
      </c>
    </row>
    <row customHeight="1" ht="11.25" hidden="1">
      <c r="AF16" s="1696">
        <v>0</v>
      </c>
    </row>
    <row customHeight="1" ht="22.5" hidden="1">
      <c r="D17" s="1703"/>
      <c r="E17" s="611"/>
      <c r="F17" s="605"/>
      <c r="G17" s="1711" t="s">
        <v>575</v>
      </c>
      <c r="H17" s="610"/>
      <c r="I17" s="610"/>
      <c r="J17" s="354" t="s">
        <v>576</v>
      </c>
      <c r="K17" s="608"/>
      <c r="AF17" s="1696">
        <v>0</v>
      </c>
    </row>
    <row customHeight="1" ht="11.25" hidden="1">
      <c r="AF18" s="1696">
        <v>0</v>
      </c>
    </row>
    <row s="6040"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Нарьян-Марское МУ ПОКиТС</v>
      </c>
      <c r="F22" s="2314"/>
      <c r="G22" s="2314"/>
      <c r="H22" s="2314"/>
      <c r="I22" s="2314"/>
      <c r="AF22" s="1696">
        <v>24</v>
      </c>
    </row>
    <row customHeight="1" ht="11.549999999999999">
      <c r="E23" s="1200"/>
      <c r="F23" s="1200"/>
      <c r="G23" s="1200"/>
      <c r="H23" s="1200"/>
      <c r="I23" s="1200"/>
      <c r="AF23" s="1696">
        <v>11</v>
      </c>
    </row>
    <row s="5305"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577</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578</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309</v>
      </c>
      <c r="F28" s="2435"/>
      <c r="G28" s="2435"/>
      <c r="H28" s="1710"/>
      <c r="I28" s="1710"/>
      <c r="J28" s="2192"/>
      <c r="AF28" s="1696">
        <v>11</v>
      </c>
    </row>
    <row customHeight="1" ht="24">
      <c r="E29" s="1711" t="s">
        <v>91</v>
      </c>
      <c r="F29" s="1718" t="s">
        <v>311</v>
      </c>
      <c r="G29" s="1718" t="s">
        <v>579</v>
      </c>
      <c r="H29" s="1718" t="s">
        <v>312</v>
      </c>
      <c r="I29" s="1718" t="s">
        <v>312</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565</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565</v>
      </c>
      <c r="H31" s="623">
        <f>SUMIF($K33:$K71,$K31,H33:H71)</f>
        <v>0</v>
      </c>
      <c r="I31" s="623">
        <f>SUMIF($K33:$K71,$K31,I33:I71)</f>
        <v>0</v>
      </c>
      <c r="J31" s="354" t="str">
        <f>FHD_NOTE_P_2</f>
        <v>Указывается суммарная себестоимость производимых товаров.</v>
      </c>
      <c r="K31" s="1701" t="s">
        <v>580</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565</v>
      </c>
      <c r="H32" s="622"/>
      <c r="I32" s="622"/>
      <c r="J32" s="354" t="str">
        <f>FHD_NOTE_P_3</f>
        <v/>
      </c>
      <c r="K32" s="1701" t="str">
        <f>IF((LEN(E32)-LEN(SUBSTITUTE(E32,".","")))/LEN(".")=1,"p","")</f>
        <v>p</v>
      </c>
      <c r="AF32" s="1696">
        <v>11</v>
      </c>
    </row>
    <row customHeight="1" ht="11.25">
      <c r="A33" s="2436" t="s">
        <v>581</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565</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4600"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4600"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4600"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4600"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4600"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4600"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5745" customFormat="1" customHeight="1" ht="15">
      <c r="A40" s="2436"/>
      <c r="C40" s="1701"/>
      <c r="D40" s="1698"/>
      <c r="E40" s="635"/>
      <c r="F40" s="636" t="s">
        <v>582</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583</v>
      </c>
      <c r="D41" s="1703"/>
      <c r="E41" s="611" t="str">
        <f>FHD_NUM_P_5</f>
        <v/>
      </c>
      <c r="F41" s="1589" t="str">
        <f>FHD_P_5</f>
        <v/>
      </c>
      <c r="G41" s="1943" t="s">
        <v>565</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565</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565</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565</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584</v>
      </c>
      <c r="H45" s="622"/>
      <c r="I45" s="622"/>
      <c r="J45" s="354" t="str">
        <f>FHD_NOTE_P_9</f>
        <v/>
      </c>
      <c r="K45" s="1701" t="str">
        <f>IF((LEN(E45)-LEN(SUBSTITUTE(E45,".","")))/LEN(".")=1,"p","")</f>
        <v/>
      </c>
      <c r="AF45" s="1696">
        <v>11</v>
      </c>
    </row>
    <row s="5745" customFormat="1" customHeight="1" ht="11.549999999999999">
      <c r="A46" s="1052"/>
      <c r="C46" s="1701"/>
      <c r="D46" s="639"/>
      <c r="E46" s="611" t="str">
        <f>FHD_NUM_P_10</f>
        <v>2.3.2</v>
      </c>
      <c r="F46" s="1715" t="str">
        <f>FHD_P_10</f>
        <v>Объём приобретения электрической энергии</v>
      </c>
      <c r="G46" s="1943" t="s">
        <v>585</v>
      </c>
      <c r="H46" s="622"/>
      <c r="I46" s="622"/>
      <c r="J46" s="354" t="str">
        <f>FHD_NOTE_P_10</f>
        <v/>
      </c>
      <c r="K46" s="1701" t="str">
        <f>IF((LEN(E46)-LEN(SUBSTITUTE(E46,".","")))/LEN(".")=1,"p","")</f>
        <v/>
      </c>
      <c r="L46" s="1701"/>
      <c r="M46" s="1701"/>
      <c r="R46" s="1701"/>
      <c r="U46" s="609"/>
      <c r="AA46" s="1697"/>
      <c r="AB46" s="1697"/>
      <c r="AC46" s="1697"/>
      <c r="AD46" s="1697"/>
      <c r="AE46" s="1697"/>
      <c r="AF46" s="1225">
        <v>11</v>
      </c>
    </row>
    <row s="5745" customFormat="1" customHeight="1" ht="11.25">
      <c r="A47" s="1054" t="s">
        <v>586</v>
      </c>
      <c r="C47" s="1701"/>
      <c r="D47" s="640"/>
      <c r="E47" s="611" t="str">
        <f>FHD_NUM_P_11</f>
        <v>2.4</v>
      </c>
      <c r="F47" s="1589" t="str">
        <f>FHD_P_11</f>
        <v>Расходы на приобретение холодной воды, используемой в технологическом процессе</v>
      </c>
      <c r="G47" s="1943" t="s">
        <v>565</v>
      </c>
      <c r="H47" s="622"/>
      <c r="I47" s="622"/>
      <c r="J47" s="354" t="str">
        <f>FHD_NOTE_P_11</f>
        <v/>
      </c>
      <c r="K47" s="1701" t="str">
        <f>IF((LEN(E47)-LEN(SUBSTITUTE(E47,".","")))/LEN(".")=1,"p","")</f>
        <v>p</v>
      </c>
      <c r="L47" s="1701"/>
      <c r="M47" s="1701"/>
      <c r="R47" s="1701"/>
      <c r="U47" s="609"/>
      <c r="AA47" s="1697"/>
      <c r="AB47" s="1697"/>
      <c r="AC47" s="1697"/>
      <c r="AD47" s="1697"/>
      <c r="AE47" s="1697"/>
      <c r="AF47" s="1225">
        <v>0</v>
      </c>
    </row>
    <row s="5745" customFormat="1" customHeight="1" ht="18.75">
      <c r="A48" s="1054" t="s">
        <v>587</v>
      </c>
      <c r="C48" s="1701"/>
      <c r="D48" s="1703"/>
      <c r="E48" s="611" t="str">
        <f>FHD_NUM_P_12</f>
        <v>2.5</v>
      </c>
      <c r="F48" s="1589" t="str">
        <f>FHD_P_12</f>
        <v>Расходы на  химические реагенты, используемые в технологическом процессе</v>
      </c>
      <c r="G48" s="1943" t="s">
        <v>565</v>
      </c>
      <c r="H48" s="642"/>
      <c r="I48" s="642"/>
      <c r="J48" s="354" t="str">
        <f>FHD_NOTE_P_12</f>
        <v/>
      </c>
      <c r="K48" s="1701" t="str">
        <f>IF((LEN(E48)-LEN(SUBSTITUTE(E48,".","")))/LEN(".")=1,"p","")</f>
        <v>p</v>
      </c>
      <c r="L48" s="1701"/>
      <c r="M48" s="1701"/>
      <c r="R48" s="1701"/>
      <c r="U48" s="609"/>
      <c r="AA48" s="1697"/>
      <c r="AB48" s="1697"/>
      <c r="AC48" s="1697"/>
      <c r="AD48" s="1697"/>
      <c r="AE48" s="1697"/>
      <c r="AF48" s="1225">
        <v>18</v>
      </c>
    </row>
    <row s="369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565</v>
      </c>
      <c r="H49" s="622"/>
      <c r="I49" s="622"/>
      <c r="J49" s="354" t="str">
        <f>FHD_NOTE_P_13</f>
        <v/>
      </c>
      <c r="K49" s="1701" t="str">
        <f>IF((LEN(E49)-LEN(SUBSTITUTE(E49,".","")))/LEN(".")=1,"p","")</f>
        <v>p</v>
      </c>
      <c r="L49" s="795"/>
      <c r="M49" s="795"/>
      <c r="R49" s="795"/>
      <c r="U49" s="796"/>
      <c r="AA49" s="797"/>
      <c r="AB49" s="797"/>
      <c r="AC49" s="797"/>
      <c r="AD49" s="797"/>
      <c r="AE49" s="797"/>
      <c r="AF49" s="794">
        <v>11</v>
      </c>
    </row>
    <row s="369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565</v>
      </c>
      <c r="H50" s="622"/>
      <c r="I50" s="622"/>
      <c r="J50" s="354" t="str">
        <f>FHD_NOTE_P_14</f>
        <v/>
      </c>
      <c r="K50" s="1701" t="str">
        <f>IF((LEN(E50)-LEN(SUBSTITUTE(E50,".","")))/LEN(".")=1,"p","")</f>
        <v/>
      </c>
      <c r="L50" s="795"/>
      <c r="M50" s="795"/>
      <c r="R50" s="795"/>
      <c r="U50" s="796"/>
      <c r="AA50" s="797"/>
      <c r="AB50" s="797"/>
      <c r="AC50" s="797"/>
      <c r="AD50" s="797"/>
      <c r="AE50" s="797"/>
      <c r="AF50" s="794">
        <v>11</v>
      </c>
    </row>
    <row s="369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565</v>
      </c>
      <c r="H51" s="622"/>
      <c r="I51" s="622"/>
      <c r="J51" s="354" t="str">
        <f>FHD_NOTE_P_15</f>
        <v/>
      </c>
      <c r="K51" s="1701" t="str">
        <f>IF((LEN(E51)-LEN(SUBSTITUTE(E51,".","")))/LEN(".")=1,"p","")</f>
        <v/>
      </c>
      <c r="L51" s="795"/>
      <c r="M51" s="795"/>
      <c r="R51" s="795"/>
      <c r="U51" s="796"/>
      <c r="AA51" s="797"/>
      <c r="AB51" s="797"/>
      <c r="AC51" s="797"/>
      <c r="AD51" s="797"/>
      <c r="AE51" s="797"/>
      <c r="AF51" s="794">
        <v>11</v>
      </c>
    </row>
    <row s="5745"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565</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5745"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565</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5745"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565</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5745"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565</v>
      </c>
      <c r="H55" s="622"/>
      <c r="I55" s="622"/>
      <c r="J55" s="354" t="str">
        <f>FHD_NOTE_P_19</f>
        <v/>
      </c>
      <c r="K55" s="1701" t="str">
        <f>IF((LEN(E55)-LEN(SUBSTITUTE(E55,".","")))/LEN(".")=1,"p","")</f>
        <v>p</v>
      </c>
      <c r="L55" s="1701"/>
      <c r="M55" s="1701"/>
      <c r="R55" s="1701"/>
      <c r="U55" s="609"/>
      <c r="AA55" s="1697"/>
      <c r="AB55" s="1697"/>
      <c r="AC55" s="1697"/>
      <c r="AD55" s="1697"/>
      <c r="AE55" s="1697"/>
      <c r="AF55" s="1225">
        <v>11</v>
      </c>
    </row>
    <row s="5745" customFormat="1" customHeight="1" ht="11.549999999999999">
      <c r="A56" s="1052"/>
      <c r="C56" s="1701"/>
      <c r="D56" s="640"/>
      <c r="E56" s="611" t="str">
        <f>FHD_NUM_P_20</f>
        <v>2.8.1</v>
      </c>
      <c r="F56" s="1715" t="str">
        <f>FHD_P_20</f>
        <v>Расходы на амортизацию основных средств</v>
      </c>
      <c r="G56" s="1943" t="s">
        <v>565</v>
      </c>
      <c r="H56" s="622"/>
      <c r="I56" s="622"/>
      <c r="J56" s="354" t="str">
        <f>FHD_NOTE_P_20</f>
        <v/>
      </c>
      <c r="K56" s="1701" t="str">
        <f>IF((LEN(E56)-LEN(SUBSTITUTE(E56,".","")))/LEN(".")=1,"p","")</f>
        <v/>
      </c>
      <c r="L56" s="1701"/>
      <c r="M56" s="1701"/>
      <c r="R56" s="1701"/>
      <c r="U56" s="609"/>
      <c r="AA56" s="1697"/>
      <c r="AB56" s="1697"/>
      <c r="AC56" s="1697"/>
      <c r="AD56" s="1697"/>
      <c r="AE56" s="1697"/>
      <c r="AF56" s="1225">
        <v>11</v>
      </c>
    </row>
    <row s="5745" customFormat="1" customHeight="1" ht="11.549999999999999">
      <c r="A57" s="1052"/>
      <c r="C57" s="1701"/>
      <c r="D57" s="640"/>
      <c r="E57" s="611" t="str">
        <f>FHD_NUM_P_21</f>
        <v>2.8.2</v>
      </c>
      <c r="F57" s="1715" t="str">
        <f>FHD_P_21</f>
        <v>Расходы на амортизацию нематериальных активов</v>
      </c>
      <c r="G57" s="1943" t="s">
        <v>565</v>
      </c>
      <c r="H57" s="622"/>
      <c r="I57" s="622"/>
      <c r="J57" s="354" t="str">
        <f>FHD_NOTE_P_21</f>
        <v/>
      </c>
      <c r="K57" s="1701" t="str">
        <f>IF((LEN(E57)-LEN(SUBSTITUTE(E57,".","")))/LEN(".")=1,"p","")</f>
        <v/>
      </c>
      <c r="L57" s="1701"/>
      <c r="M57" s="1701"/>
      <c r="R57" s="1701"/>
      <c r="U57" s="609"/>
      <c r="AA57" s="1697"/>
      <c r="AB57" s="1697"/>
      <c r="AC57" s="1697"/>
      <c r="AD57" s="1697"/>
      <c r="AE57" s="1697"/>
      <c r="AF57" s="1225">
        <v>11</v>
      </c>
    </row>
    <row s="5745"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565</v>
      </c>
      <c r="H58" s="622"/>
      <c r="I58" s="622"/>
      <c r="J58" s="354" t="str">
        <f>FHD_NOTE_P_22</f>
        <v/>
      </c>
      <c r="K58" s="1701" t="str">
        <f>IF((LEN(E58)-LEN(SUBSTITUTE(E58,".","")))/LEN(".")=1,"p","")</f>
        <v>p</v>
      </c>
      <c r="L58" s="1701"/>
      <c r="M58" s="1701"/>
      <c r="R58" s="1701"/>
      <c r="U58" s="609"/>
      <c r="AA58" s="1697"/>
      <c r="AB58" s="1697"/>
      <c r="AC58" s="1697"/>
      <c r="AD58" s="1697"/>
      <c r="AE58" s="1697"/>
      <c r="AF58" s="1225">
        <v>11</v>
      </c>
    </row>
    <row s="5745" customFormat="1" customHeight="1" ht="11.549999999999999">
      <c r="A59" s="1052"/>
      <c r="C59" s="1701"/>
      <c r="D59" s="640"/>
      <c r="E59" s="611" t="str">
        <f>FHD_NUM_P_23</f>
        <v>2.10</v>
      </c>
      <c r="F59" s="1589" t="str">
        <f>FHD_P_23</f>
        <v>Общепроизводственные расходы, в том числе:</v>
      </c>
      <c r="G59" s="1943" t="s">
        <v>565</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5745" customFormat="1" customHeight="1" ht="11.549999999999999">
      <c r="A60" s="1052"/>
      <c r="C60" s="1701"/>
      <c r="D60" s="640"/>
      <c r="E60" s="611" t="str">
        <f>FHD_NUM_P_24</f>
        <v>2.10.1</v>
      </c>
      <c r="F60" s="1715" t="str">
        <f>FHD_P_24</f>
        <v>Расходы на текущий ремонт</v>
      </c>
      <c r="G60" s="1943" t="s">
        <v>565</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5745" customFormat="1" customHeight="1" ht="11.549999999999999">
      <c r="A61" s="1052"/>
      <c r="C61" s="1701"/>
      <c r="D61" s="640"/>
      <c r="E61" s="611" t="str">
        <f>FHD_NUM_P_25</f>
        <v>2.10.2</v>
      </c>
      <c r="F61" s="1715" t="str">
        <f>FHD_P_25</f>
        <v>Расходы на капитальный ремонт</v>
      </c>
      <c r="G61" s="1943" t="s">
        <v>565</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5745" customFormat="1" customHeight="1" ht="11.549999999999999">
      <c r="A62" s="1052"/>
      <c r="C62" s="1701"/>
      <c r="D62" s="1703"/>
      <c r="E62" s="611" t="str">
        <f>FHD_NUM_P_26</f>
        <v>2.11</v>
      </c>
      <c r="F62" s="1589" t="str">
        <f>FHD_P_26</f>
        <v>Общехозяйственные расходы, в том числе:</v>
      </c>
      <c r="G62" s="1943" t="s">
        <v>565</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5745" customFormat="1" customHeight="1" ht="11.549999999999999">
      <c r="A63" s="1052"/>
      <c r="C63" s="1701"/>
      <c r="D63" s="1703"/>
      <c r="E63" s="611" t="str">
        <f>FHD_NUM_P_27</f>
        <v>2.11.1</v>
      </c>
      <c r="F63" s="1715" t="str">
        <f>FHD_P_27</f>
        <v>Расходы на текущий ремонт</v>
      </c>
      <c r="G63" s="1943" t="s">
        <v>565</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5745" customFormat="1" customHeight="1" ht="11.549999999999999">
      <c r="A64" s="1052"/>
      <c r="C64" s="1701"/>
      <c r="D64" s="1703"/>
      <c r="E64" s="611" t="str">
        <f>FHD_NUM_P_28</f>
        <v>2.11.2</v>
      </c>
      <c r="F64" s="1715" t="str">
        <f>FHD_P_28</f>
        <v>Расходы на капитальный ремонт</v>
      </c>
      <c r="G64" s="1943" t="s">
        <v>565</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5745"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565</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5745"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315</v>
      </c>
      <c r="H66" s="1714" t="s">
        <v>588</v>
      </c>
      <c r="I66" s="1714" t="s">
        <v>588</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5745" customFormat="1" customHeight="1" ht="23.25" hidden="1">
      <c r="A67" s="2436" t="s">
        <v>589</v>
      </c>
      <c r="C67" s="1701"/>
      <c r="D67" s="1703"/>
      <c r="E67" s="611" t="str">
        <f>FHD_NUM_P_31</f>
        <v/>
      </c>
      <c r="F67" s="1589" t="str">
        <f>FHD_P_31</f>
        <v/>
      </c>
      <c r="G67" s="1943" t="s">
        <v>565</v>
      </c>
      <c r="H67" s="622"/>
      <c r="I67" s="622"/>
      <c r="J67" s="354" t="str">
        <f>FHD_NOTE_P_31</f>
        <v/>
      </c>
      <c r="K67" s="1701" t="str">
        <f>IF((LEN(E67)-LEN(SUBSTITUTE(E67,".","")))/LEN(".")=1,"p","")</f>
        <v/>
      </c>
      <c r="L67" s="1701"/>
      <c r="M67" s="1701"/>
      <c r="R67" s="1701"/>
      <c r="U67" s="609"/>
      <c r="AA67" s="1697"/>
      <c r="AB67" s="1697"/>
      <c r="AC67" s="1697"/>
      <c r="AD67" s="1697"/>
      <c r="AE67" s="1697"/>
      <c r="AF67" s="1225">
        <v>22</v>
      </c>
    </row>
    <row s="5745" customFormat="1" customHeight="1" ht="47.25" hidden="1">
      <c r="A68" s="2436"/>
      <c r="C68" s="1701"/>
      <c r="D68" s="1703"/>
      <c r="E68" s="611" t="str">
        <f>FHD_NUM_P_32</f>
        <v/>
      </c>
      <c r="F68" s="1715" t="str">
        <f>FHD_P_32</f>
        <v/>
      </c>
      <c r="G68" s="1943" t="s">
        <v>315</v>
      </c>
      <c r="H68" s="1714" t="s">
        <v>588</v>
      </c>
      <c r="I68" s="1714" t="s">
        <v>588</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5745"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565</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5305" customFormat="1" customHeight="1" ht="1.05">
      <c r="A70" s="1232"/>
      <c r="D70" s="613"/>
      <c r="E70" s="1078" t="str">
        <f>E69&amp;".0"</f>
        <v>2.13.0</v>
      </c>
      <c r="F70" s="1056"/>
      <c r="G70" s="1078"/>
      <c r="H70" s="1057"/>
      <c r="I70" s="1057"/>
      <c r="J70" s="1058"/>
      <c r="K70" s="1701" t="str">
        <f>IF((LEN(E70)-LEN(SUBSTITUTE(E70,".","")))/LEN(".")=1,"p","")</f>
        <v/>
      </c>
      <c r="AF70" s="1701">
        <v>1</v>
      </c>
    </row>
    <row s="5745" customFormat="1" customHeight="1" ht="14.699999999999998">
      <c r="A71" s="1052"/>
      <c r="C71" s="1701"/>
      <c r="D71" s="1698"/>
      <c r="E71" s="635"/>
      <c r="F71" s="636" t="s">
        <v>590</v>
      </c>
      <c r="G71" s="637"/>
      <c r="H71" s="638"/>
      <c r="I71" s="638"/>
      <c r="J71" s="366"/>
      <c r="K71" s="1701"/>
      <c r="L71" s="1701"/>
      <c r="M71" s="1701"/>
      <c r="R71" s="1701"/>
      <c r="U71" s="609"/>
      <c r="AA71" s="1697"/>
      <c r="AB71" s="1697"/>
      <c r="AC71" s="1697"/>
      <c r="AD71" s="1697"/>
      <c r="AE71" s="1697"/>
      <c r="AF71" s="1225">
        <v>14</v>
      </c>
    </row>
    <row s="5745" customFormat="1" customHeight="1" ht="18.75">
      <c r="A72" s="1054" t="s">
        <v>591</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565</v>
      </c>
      <c r="H72" s="622"/>
      <c r="I72" s="622"/>
      <c r="J72" s="354" t="str">
        <f>FHD_NOTE_P_34</f>
        <v/>
      </c>
      <c r="K72" s="608"/>
      <c r="L72" s="1701"/>
      <c r="M72" s="1701"/>
      <c r="R72" s="1701"/>
      <c r="U72" s="609"/>
      <c r="AA72" s="1697"/>
      <c r="AB72" s="1697"/>
      <c r="AC72" s="1697"/>
      <c r="AD72" s="1697"/>
      <c r="AE72" s="1697"/>
      <c r="AF72" s="1225">
        <v>0</v>
      </c>
    </row>
    <row s="5745"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565</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5745"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565</v>
      </c>
      <c r="H74" s="622"/>
      <c r="I74" s="622"/>
      <c r="J74" s="354" t="str">
        <f>FHD_NOTE_P_36</f>
        <v/>
      </c>
      <c r="K74" s="608"/>
      <c r="L74" s="1701"/>
      <c r="M74" s="1701"/>
      <c r="R74" s="1701"/>
      <c r="U74" s="609"/>
      <c r="AA74" s="1697"/>
      <c r="AB74" s="1697"/>
      <c r="AC74" s="1697"/>
      <c r="AD74" s="1697"/>
      <c r="AE74" s="1697"/>
      <c r="AF74" s="1225">
        <v>19</v>
      </c>
    </row>
    <row s="5745" customFormat="1" customHeight="1" ht="19.95">
      <c r="A75" s="1052"/>
      <c r="C75" s="1701"/>
      <c r="D75" s="1703"/>
      <c r="E75" s="611" t="str">
        <f>FHD_NUM_P_37</f>
        <v>5</v>
      </c>
      <c r="F75" s="1945" t="str">
        <f>FHD_P_37</f>
        <v>Изменение стоимости основных фондов, в том числе:</v>
      </c>
      <c r="G75" s="1943" t="s">
        <v>565</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5745" customFormat="1" customHeight="1" ht="19.95">
      <c r="A76" s="1052"/>
      <c r="C76" s="1701"/>
      <c r="D76" s="1703"/>
      <c r="E76" s="611" t="str">
        <f>FHD_NUM_P_38</f>
        <v>5.1</v>
      </c>
      <c r="F76" s="1589" t="str">
        <f>FHD_P_38</f>
        <v>Изменение стоимости основных фондов за счет:</v>
      </c>
      <c r="G76" s="1943" t="s">
        <v>565</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5745"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565</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5745"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565</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5745" customFormat="1" customHeight="1" ht="19.95">
      <c r="A79" s="1052"/>
      <c r="C79" s="1701"/>
      <c r="D79" s="1703"/>
      <c r="E79" s="611" t="str">
        <f>FHD_NUM_P_41</f>
        <v>5.2</v>
      </c>
      <c r="F79" s="2140" t="str">
        <f>FHD_P_41</f>
        <v>Изменение стоимости основных фондов за счет их переоценки</v>
      </c>
      <c r="G79" s="2136" t="s">
        <v>565</v>
      </c>
      <c r="H79" s="1041"/>
      <c r="I79" s="622"/>
      <c r="J79" s="354" t="str">
        <f>FHD_NOTE_P_41</f>
        <v/>
      </c>
      <c r="K79" s="608"/>
      <c r="L79" s="1701"/>
      <c r="M79" s="1701"/>
      <c r="R79" s="1701"/>
      <c r="U79" s="609"/>
      <c r="AA79" s="1697"/>
      <c r="AB79" s="1697"/>
      <c r="AC79" s="1697"/>
      <c r="AD79" s="1697"/>
      <c r="AE79" s="1697"/>
      <c r="AF79" s="1225">
        <v>19</v>
      </c>
    </row>
    <row s="5745" customFormat="1" customHeight="1" ht="20.25" hidden="1">
      <c r="A80" s="1054" t="s">
        <v>592</v>
      </c>
      <c r="C80" s="1701"/>
      <c r="D80" s="1703"/>
      <c r="E80" s="611" t="str">
        <f>FHD_NUM_P_42</f>
        <v/>
      </c>
      <c r="F80" s="2138" t="str">
        <f>FHD_P_42</f>
        <v/>
      </c>
      <c r="G80" s="2136" t="s">
        <v>565</v>
      </c>
      <c r="H80" s="1041"/>
      <c r="I80" s="622"/>
      <c r="J80" s="354" t="str">
        <f>FHD_NOTE_P_42</f>
        <v/>
      </c>
      <c r="K80" s="608"/>
      <c r="L80" s="1701"/>
      <c r="M80" s="1701"/>
      <c r="R80" s="1701"/>
      <c r="U80" s="609"/>
      <c r="AA80" s="1697"/>
      <c r="AB80" s="1697"/>
      <c r="AC80" s="1697"/>
      <c r="AD80" s="1697"/>
      <c r="AE80" s="1697"/>
      <c r="AF80" s="1225">
        <v>19</v>
      </c>
    </row>
    <row s="5745"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315</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5745" customFormat="1" customHeight="1" ht="18.75" hidden="1">
      <c r="A82" s="2436" t="s">
        <v>593</v>
      </c>
      <c r="C82" s="800"/>
      <c r="D82" s="798"/>
      <c r="E82" s="611" t="str">
        <f>FHD_NUM_P_44</f>
        <v/>
      </c>
      <c r="F82" s="1945" t="str">
        <f>FHD_P_44</f>
        <v/>
      </c>
      <c r="G82" s="1946" t="s">
        <v>594</v>
      </c>
      <c r="H82" s="1042"/>
      <c r="I82" s="642"/>
      <c r="J82" s="354" t="str">
        <f>FHD_NOTE_P_44</f>
        <v/>
      </c>
      <c r="K82" s="799"/>
      <c r="L82" s="800"/>
      <c r="M82" s="800"/>
      <c r="R82" s="800"/>
      <c r="U82" s="801"/>
      <c r="AA82" s="802"/>
      <c r="AB82" s="802"/>
      <c r="AC82" s="802"/>
      <c r="AD82" s="802"/>
      <c r="AE82" s="802"/>
      <c r="AF82" s="975">
        <v>0</v>
      </c>
    </row>
    <row s="5745" customFormat="1" customHeight="1" ht="18.75" hidden="1">
      <c r="A83" s="2436"/>
      <c r="C83" s="800"/>
      <c r="D83" s="798"/>
      <c r="E83" s="611" t="str">
        <f>FHD_NUM_P_45</f>
        <v/>
      </c>
      <c r="F83" s="1945" t="str">
        <f>FHD_P_45</f>
        <v/>
      </c>
      <c r="G83" s="1946" t="s">
        <v>594</v>
      </c>
      <c r="H83" s="1042"/>
      <c r="I83" s="642"/>
      <c r="J83" s="354" t="str">
        <f>FHD_NOTE_P_45</f>
        <v/>
      </c>
      <c r="K83" s="799"/>
      <c r="L83" s="800"/>
      <c r="M83" s="800"/>
      <c r="R83" s="800"/>
      <c r="U83" s="801"/>
      <c r="AA83" s="802"/>
      <c r="AB83" s="802"/>
      <c r="AC83" s="802"/>
      <c r="AD83" s="802"/>
      <c r="AE83" s="802"/>
      <c r="AF83" s="975">
        <v>0</v>
      </c>
    </row>
    <row s="5745" customFormat="1" customHeight="1" ht="18.75" hidden="1">
      <c r="A84" s="2436"/>
      <c r="C84" s="800"/>
      <c r="D84" s="803"/>
      <c r="E84" s="611" t="str">
        <f>FHD_NUM_P_46</f>
        <v/>
      </c>
      <c r="F84" s="1945" t="str">
        <f>FHD_P_46</f>
        <v/>
      </c>
      <c r="G84" s="1946" t="s">
        <v>594</v>
      </c>
      <c r="H84" s="1042"/>
      <c r="I84" s="642"/>
      <c r="J84" s="354" t="str">
        <f>FHD_NOTE_P_46</f>
        <v/>
      </c>
      <c r="K84" s="799"/>
      <c r="L84" s="800"/>
      <c r="M84" s="800"/>
      <c r="R84" s="800"/>
      <c r="U84" s="801"/>
      <c r="AA84" s="802"/>
      <c r="AB84" s="802"/>
      <c r="AC84" s="802"/>
      <c r="AD84" s="802"/>
      <c r="AE84" s="802"/>
      <c r="AF84" s="975">
        <v>0</v>
      </c>
    </row>
    <row s="5745" customFormat="1" customHeight="1" ht="18.75" hidden="1">
      <c r="A85" s="2436"/>
      <c r="C85" s="800"/>
      <c r="D85" s="798"/>
      <c r="E85" s="611" t="str">
        <f>FHD_NUM_P_47</f>
        <v/>
      </c>
      <c r="F85" s="1945" t="str">
        <f>FHD_P_47</f>
        <v/>
      </c>
      <c r="G85" s="1946" t="s">
        <v>594</v>
      </c>
      <c r="H85" s="1042"/>
      <c r="I85" s="642"/>
      <c r="J85" s="354" t="str">
        <f>FHD_NOTE_P_47</f>
        <v/>
      </c>
      <c r="K85" s="799"/>
      <c r="L85" s="800"/>
      <c r="M85" s="800"/>
      <c r="R85" s="800"/>
      <c r="U85" s="801"/>
      <c r="AA85" s="802"/>
      <c r="AB85" s="802"/>
      <c r="AC85" s="802"/>
      <c r="AD85" s="802"/>
      <c r="AE85" s="802"/>
      <c r="AF85" s="975">
        <v>0</v>
      </c>
    </row>
    <row s="5796" customFormat="1" customHeight="1" ht="18.75" hidden="1">
      <c r="A86" s="2436"/>
      <c r="B86" s="975"/>
      <c r="C86" s="800"/>
      <c r="D86" s="798"/>
      <c r="E86" s="611" t="str">
        <f>FHD_NUM_P_48</f>
        <v/>
      </c>
      <c r="F86" s="1945" t="str">
        <f>FHD_P_48</f>
        <v/>
      </c>
      <c r="G86" s="1946" t="s">
        <v>594</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5796" customFormat="1" customHeight="1" ht="18.75" hidden="1">
      <c r="A87" s="2436"/>
      <c r="B87" s="975"/>
      <c r="C87" s="800"/>
      <c r="D87" s="798"/>
      <c r="E87" s="611" t="str">
        <f>FHD_NUM_P_49</f>
        <v/>
      </c>
      <c r="F87" s="1945" t="str">
        <f>FHD_P_49</f>
        <v/>
      </c>
      <c r="G87" s="1946" t="s">
        <v>594</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5796" customFormat="1" customHeight="1" ht="18.75" hidden="1">
      <c r="A88" s="2436"/>
      <c r="B88" s="975"/>
      <c r="C88" s="800"/>
      <c r="D88" s="798"/>
      <c r="E88" s="611" t="str">
        <f>FHD_NUM_P_50</f>
        <v/>
      </c>
      <c r="F88" s="1945" t="str">
        <f>FHD_P_50</f>
        <v/>
      </c>
      <c r="G88" s="1946" t="s">
        <v>594</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5796" customFormat="1" customHeight="1" ht="18.75" hidden="1">
      <c r="A89" s="2436"/>
      <c r="B89" s="975"/>
      <c r="C89" s="800"/>
      <c r="D89" s="798"/>
      <c r="E89" s="611" t="str">
        <f>FHD_NUM_P_51</f>
        <v/>
      </c>
      <c r="F89" s="1945" t="str">
        <f>FHD_P_51</f>
        <v/>
      </c>
      <c r="G89" s="1946" t="s">
        <v>594</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5796" customFormat="1" customHeight="1" ht="18.75" hidden="1">
      <c r="A90" s="2436"/>
      <c r="B90" s="975"/>
      <c r="C90" s="800"/>
      <c r="D90" s="798"/>
      <c r="E90" s="611" t="str">
        <f>FHD_NUM_P_52</f>
        <v/>
      </c>
      <c r="F90" s="1945" t="str">
        <f>FHD_P_52</f>
        <v/>
      </c>
      <c r="G90" s="1946" t="s">
        <v>571</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5745" customFormat="1" customHeight="1" ht="18.75" hidden="1">
      <c r="A91" s="2438" t="s">
        <v>595</v>
      </c>
      <c r="C91" s="800"/>
      <c r="D91" s="798"/>
      <c r="E91" s="611" t="str">
        <f>FHD_NUM_P_53</f>
        <v/>
      </c>
      <c r="F91" s="1945" t="str">
        <f>FHD_P_53</f>
        <v/>
      </c>
      <c r="G91" s="1946" t="s">
        <v>594</v>
      </c>
      <c r="H91" s="1042"/>
      <c r="I91" s="642"/>
      <c r="J91" s="354" t="str">
        <f>FHD_NOTE_P_53</f>
        <v/>
      </c>
      <c r="K91" s="799"/>
      <c r="L91" s="800"/>
      <c r="M91" s="800"/>
      <c r="R91" s="800"/>
      <c r="U91" s="801"/>
      <c r="AA91" s="802"/>
      <c r="AB91" s="802"/>
      <c r="AC91" s="802"/>
      <c r="AD91" s="802"/>
      <c r="AE91" s="802"/>
      <c r="AF91" s="975">
        <v>0</v>
      </c>
    </row>
    <row s="5745" customFormat="1" customHeight="1" ht="18.75" hidden="1">
      <c r="A92" s="2438"/>
      <c r="C92" s="800"/>
      <c r="D92" s="798"/>
      <c r="E92" s="611" t="str">
        <f>FHD_NUM_P_54</f>
        <v/>
      </c>
      <c r="F92" s="1945" t="str">
        <f>FHD_P_54</f>
        <v/>
      </c>
      <c r="G92" s="1946" t="s">
        <v>594</v>
      </c>
      <c r="H92" s="1042"/>
      <c r="I92" s="642"/>
      <c r="J92" s="354" t="str">
        <f>FHD_NOTE_P_54</f>
        <v/>
      </c>
      <c r="K92" s="799"/>
      <c r="L92" s="800"/>
      <c r="M92" s="800"/>
      <c r="R92" s="800"/>
      <c r="U92" s="801"/>
      <c r="AA92" s="802"/>
      <c r="AB92" s="802"/>
      <c r="AC92" s="802"/>
      <c r="AD92" s="802"/>
      <c r="AE92" s="802"/>
      <c r="AF92" s="975">
        <v>0</v>
      </c>
    </row>
    <row s="5745"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5745" customFormat="1" customHeight="1" ht="18.75" hidden="1">
      <c r="A94" s="2438"/>
      <c r="C94" s="800"/>
      <c r="D94" s="798"/>
      <c r="E94" s="611" t="str">
        <f>FHD_NUM_P_56</f>
        <v/>
      </c>
      <c r="F94" s="1945" t="str">
        <f>FHD_P_56</f>
        <v/>
      </c>
      <c r="G94" s="1946" t="s">
        <v>596</v>
      </c>
      <c r="H94" s="1042"/>
      <c r="I94" s="642"/>
      <c r="J94" s="354" t="str">
        <f>FHD_NOTE_P_56</f>
        <v/>
      </c>
      <c r="K94" s="799"/>
      <c r="L94" s="800"/>
      <c r="M94" s="800"/>
      <c r="R94" s="800"/>
      <c r="U94" s="801"/>
      <c r="AA94" s="802"/>
      <c r="AB94" s="802"/>
      <c r="AC94" s="802"/>
      <c r="AD94" s="802"/>
      <c r="AE94" s="802"/>
      <c r="AF94" s="975">
        <v>0</v>
      </c>
    </row>
    <row s="5796" customFormat="1" customHeight="1" ht="18.75" hidden="1">
      <c r="A95" s="2438"/>
      <c r="B95" s="975"/>
      <c r="C95" s="800"/>
      <c r="D95" s="798"/>
      <c r="E95" s="611" t="str">
        <f>FHD_NUM_P_57</f>
        <v/>
      </c>
      <c r="F95" s="1945" t="str">
        <f>FHD_P_57</f>
        <v/>
      </c>
      <c r="G95" s="1946" t="s">
        <v>571</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597</v>
      </c>
      <c r="D96" s="1703"/>
      <c r="E96" s="611" t="str">
        <f>FHD_NUM_P_58</f>
        <v/>
      </c>
      <c r="F96" s="1945" t="str">
        <f>FHD_P_58</f>
        <v/>
      </c>
      <c r="G96" s="1946" t="s">
        <v>594</v>
      </c>
      <c r="H96" s="1042"/>
      <c r="I96" s="642"/>
      <c r="J96" s="354" t="str">
        <f>FHD_NOTE_P_58</f>
        <v/>
      </c>
      <c r="K96" s="608"/>
      <c r="AF96" s="1696">
        <v>0</v>
      </c>
    </row>
    <row customHeight="1" ht="18.75" hidden="1">
      <c r="A97" s="2436"/>
      <c r="D97" s="1703"/>
      <c r="E97" s="611" t="str">
        <f>FHD_NUM_P_59</f>
        <v/>
      </c>
      <c r="F97" s="1945" t="str">
        <f>FHD_P_59</f>
        <v/>
      </c>
      <c r="G97" s="1946" t="s">
        <v>594</v>
      </c>
      <c r="H97" s="1042"/>
      <c r="I97" s="642"/>
      <c r="J97" s="354" t="str">
        <f>FHD_NOTE_P_59</f>
        <v/>
      </c>
      <c r="K97" s="608"/>
      <c r="AF97" s="1696">
        <v>0</v>
      </c>
    </row>
    <row customHeight="1" ht="18.75" hidden="1">
      <c r="A98" s="2436"/>
      <c r="D98" s="1703"/>
      <c r="E98" s="611" t="str">
        <f>FHD_NUM_P_60</f>
        <v/>
      </c>
      <c r="F98" s="1945" t="str">
        <f>FHD_P_60</f>
        <v/>
      </c>
      <c r="G98" s="1946" t="s">
        <v>594</v>
      </c>
      <c r="H98" s="1042"/>
      <c r="I98" s="642"/>
      <c r="J98" s="354" t="str">
        <f>FHD_NOTE_P_60</f>
        <v/>
      </c>
      <c r="K98" s="608"/>
      <c r="AF98" s="1696">
        <v>0</v>
      </c>
    </row>
    <row s="5745" customFormat="1" customHeight="1" ht="18.75">
      <c r="A99" s="2436" t="s">
        <v>598</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569</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5305" customFormat="1" customHeight="1" ht="0.75">
      <c r="A100" s="2436"/>
      <c r="D100" s="613"/>
      <c r="E100" s="1078" t="str">
        <f>E99&amp;".0"</f>
        <v>7.0</v>
      </c>
      <c r="F100" s="1059"/>
      <c r="G100" s="1060"/>
      <c r="H100" s="1057"/>
      <c r="I100" s="1057"/>
      <c r="J100" s="1061"/>
      <c r="AF100" s="1701">
        <v>0</v>
      </c>
    </row>
    <row customHeight="1" ht="15">
      <c r="A101" s="2436"/>
      <c r="D101" s="1698"/>
      <c r="E101" s="1036"/>
      <c r="F101" s="1037" t="s">
        <v>599</v>
      </c>
      <c r="G101" s="637"/>
      <c r="H101" s="638"/>
      <c r="I101" s="638"/>
      <c r="J101" s="1069" t="s">
        <v>600</v>
      </c>
      <c r="K101" s="608"/>
      <c r="AF101" s="1696">
        <v>0</v>
      </c>
    </row>
    <row s="5745"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569</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5745"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596</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5745" customFormat="1" customHeight="1" ht="18.75">
      <c r="A104" s="2436"/>
      <c r="C104" s="1701" t="s">
        <v>601</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596</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5745"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596</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5745" customFormat="1" customHeight="1" ht="18.75">
      <c r="A106" s="2436"/>
      <c r="C106" s="1701"/>
      <c r="D106" s="1703"/>
      <c r="E106" s="611" t="str">
        <f>FHD_NUM_P_66</f>
        <v>10.1</v>
      </c>
      <c r="F106" s="1589" t="str">
        <f>FHD_P_66</f>
        <v>По приборам учёта </v>
      </c>
      <c r="G106" s="1942" t="s">
        <v>596</v>
      </c>
      <c r="H106" s="642"/>
      <c r="I106" s="642"/>
      <c r="J106" s="354" t="str">
        <f>FHD_NOTE_P_66</f>
        <v/>
      </c>
      <c r="K106" s="608"/>
      <c r="L106" s="1701"/>
      <c r="M106" s="1701"/>
      <c r="R106" s="1701"/>
      <c r="U106" s="609"/>
      <c r="AA106" s="1697"/>
      <c r="AB106" s="1697"/>
      <c r="AC106" s="1697"/>
      <c r="AD106" s="1697"/>
      <c r="AE106" s="1697"/>
      <c r="AF106" s="1225">
        <v>0</v>
      </c>
    </row>
    <row s="5745"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596</v>
      </c>
      <c r="H107" s="642"/>
      <c r="I107" s="642"/>
      <c r="J107" s="354" t="str">
        <f>FHD_NOTE_P_67</f>
        <v/>
      </c>
      <c r="K107" s="608"/>
      <c r="L107" s="1701"/>
      <c r="M107" s="1701"/>
      <c r="R107" s="1701"/>
      <c r="U107" s="609"/>
      <c r="AA107" s="1697"/>
      <c r="AB107" s="1697"/>
      <c r="AC107" s="1697"/>
      <c r="AD107" s="1697"/>
      <c r="AE107" s="1697"/>
      <c r="AF107" s="1225">
        <v>0</v>
      </c>
    </row>
    <row s="5745" customFormat="1" customHeight="1" ht="18.75">
      <c r="A108" s="2436"/>
      <c r="C108" s="1701"/>
      <c r="D108" s="1703"/>
      <c r="E108" s="611" t="str">
        <f>FHD_NUM_P_68</f>
        <v>10.2</v>
      </c>
      <c r="F108" s="1589" t="str">
        <f>FHD_P_68</f>
        <v>Расчётным путём</v>
      </c>
      <c r="G108" s="1942" t="s">
        <v>596</v>
      </c>
      <c r="H108" s="642"/>
      <c r="I108" s="642"/>
      <c r="J108" s="354" t="str">
        <f>FHD_NOTE_P_68</f>
        <v/>
      </c>
      <c r="K108" s="608"/>
      <c r="L108" s="1701"/>
      <c r="M108" s="1701"/>
      <c r="R108" s="1701"/>
      <c r="U108" s="609"/>
      <c r="AA108" s="1697"/>
      <c r="AB108" s="1697"/>
      <c r="AC108" s="1697"/>
      <c r="AD108" s="1697"/>
      <c r="AE108" s="1697"/>
      <c r="AF108" s="1225">
        <v>0</v>
      </c>
    </row>
    <row s="5745"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596</v>
      </c>
      <c r="H109" s="642"/>
      <c r="I109" s="642"/>
      <c r="J109" s="354" t="str">
        <f>FHD_NOTE_P_69</f>
        <v/>
      </c>
      <c r="K109" s="608"/>
      <c r="L109" s="1701"/>
      <c r="M109" s="1701"/>
      <c r="R109" s="1701"/>
      <c r="U109" s="609"/>
      <c r="AA109" s="1697"/>
      <c r="AB109" s="1697"/>
      <c r="AC109" s="1697"/>
      <c r="AD109" s="1697"/>
      <c r="AE109" s="1697"/>
      <c r="AF109" s="1225">
        <v>0</v>
      </c>
    </row>
    <row s="5745"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602</v>
      </c>
      <c r="H110" s="622"/>
      <c r="I110" s="622"/>
      <c r="J110" s="354" t="str">
        <f>FHD_NOTE_P_70</f>
        <v/>
      </c>
      <c r="K110" s="608"/>
      <c r="L110" s="1701"/>
      <c r="M110" s="1701"/>
      <c r="R110" s="1701"/>
      <c r="U110" s="609"/>
      <c r="AA110" s="1697"/>
      <c r="AB110" s="1697"/>
      <c r="AC110" s="1697"/>
      <c r="AD110" s="1697"/>
      <c r="AE110" s="1697"/>
      <c r="AF110" s="1225">
        <v>0</v>
      </c>
    </row>
    <row s="5745" customFormat="1" customHeight="1" ht="22.5">
      <c r="A111" s="2436"/>
      <c r="C111" s="1701"/>
      <c r="D111" s="1703"/>
      <c r="E111" s="611" t="str">
        <f>FHD_NUM_P_71</f>
        <v>12</v>
      </c>
      <c r="F111" s="1945" t="str">
        <f>FHD_P_71</f>
        <v>Фактический объем потерь при передаче тепловой энергии</v>
      </c>
      <c r="G111" s="1942" t="s">
        <v>602</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603</v>
      </c>
      <c r="H112" s="642"/>
      <c r="I112" s="642"/>
      <c r="J112" s="354" t="str">
        <f>FHD_NOTE_P_72</f>
        <v/>
      </c>
      <c r="K112" s="608"/>
      <c r="AF112" s="1696">
        <v>19</v>
      </c>
    </row>
    <row customHeight="1" ht="18.75">
      <c r="A113" s="1054" t="s">
        <v>604</v>
      </c>
      <c r="D113" s="1703"/>
      <c r="E113" s="611" t="str">
        <f>FHD_NUM_P_73</f>
        <v>14</v>
      </c>
      <c r="F113" s="1945" t="str">
        <f>FHD_P_73</f>
        <v>Среднесписочная численность административно-управленческого персонала</v>
      </c>
      <c r="G113" s="1035" t="s">
        <v>603</v>
      </c>
      <c r="H113" s="1033"/>
      <c r="I113" s="1033"/>
      <c r="J113" s="354" t="str">
        <f>FHD_NOTE_P_73</f>
        <v/>
      </c>
      <c r="K113" s="608"/>
      <c r="AF113" s="1696">
        <v>0</v>
      </c>
    </row>
    <row customHeight="1" ht="33.75" hidden="1">
      <c r="A114" s="1054" t="s">
        <v>605</v>
      </c>
      <c r="D114" s="1703"/>
      <c r="E114" s="611" t="str">
        <f>FHD_NUM_P_74</f>
        <v/>
      </c>
      <c r="F114" s="1945" t="str">
        <f>FHD_P_74</f>
        <v/>
      </c>
      <c r="G114" s="1941" t="s">
        <v>606</v>
      </c>
      <c r="H114" s="642"/>
      <c r="I114" s="642"/>
      <c r="J114" s="354" t="str">
        <f>FHD_NOTE_P_74</f>
        <v/>
      </c>
      <c r="K114" s="608"/>
      <c r="AF114" s="1696">
        <v>0</v>
      </c>
    </row>
    <row s="5796" customFormat="1" customHeight="1" ht="18.75" hidden="1">
      <c r="A115" s="2438" t="s">
        <v>607</v>
      </c>
      <c r="B115" s="975"/>
      <c r="C115" s="800"/>
      <c r="D115" s="798"/>
      <c r="E115" s="611" t="str">
        <f>FHD_NUM_P_75</f>
        <v/>
      </c>
      <c r="F115" s="1945" t="str">
        <f>FHD_P_75</f>
        <v/>
      </c>
      <c r="G115" s="1941" t="s">
        <v>571</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5796" customFormat="1" customHeight="1" ht="18.75" hidden="1">
      <c r="A116" s="2438"/>
      <c r="B116" s="975"/>
      <c r="C116" s="800"/>
      <c r="D116" s="798"/>
      <c r="E116" s="611" t="str">
        <f>FHD_NUM_P_76</f>
        <v/>
      </c>
      <c r="F116" s="1945" t="str">
        <f>FHD_P_76</f>
        <v/>
      </c>
      <c r="G116" s="1941" t="s">
        <v>571</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5796" customFormat="1" customHeight="1" ht="18.75" hidden="1">
      <c r="A117" s="2438"/>
      <c r="B117" s="975"/>
      <c r="C117" s="800"/>
      <c r="D117" s="798"/>
      <c r="E117" s="611" t="str">
        <f>FHD_NUM_P_77</f>
        <v/>
      </c>
      <c r="F117" s="1945" t="str">
        <f>FHD_P_77</f>
        <v/>
      </c>
      <c r="G117" s="1941" t="s">
        <v>571</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5305" customFormat="1" customHeight="1" ht="0.75" hidden="1">
      <c r="A118" s="2438"/>
      <c r="D118" s="613"/>
      <c r="E118" s="1078" t="str">
        <f>E117&amp;".0"</f>
        <v>.0</v>
      </c>
      <c r="F118" s="1062"/>
      <c r="G118" s="1716"/>
      <c r="H118" s="1057"/>
      <c r="I118" s="1057"/>
      <c r="J118" s="1061"/>
      <c r="AF118" s="1701">
        <v>0</v>
      </c>
    </row>
    <row s="5796" customFormat="1" customHeight="1" ht="15" hidden="1">
      <c r="A119" s="2438"/>
      <c r="B119" s="975"/>
      <c r="C119" s="800"/>
      <c r="D119" s="811"/>
      <c r="E119" s="1038"/>
      <c r="F119" s="1039" t="s">
        <v>608</v>
      </c>
      <c r="G119" s="812"/>
      <c r="H119" s="813"/>
      <c r="I119" s="813"/>
      <c r="J119" s="1068" t="s">
        <v>609</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610</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573</v>
      </c>
      <c r="H120" s="642"/>
      <c r="I120" s="642"/>
      <c r="J120" s="354" t="str">
        <f>FHD_NOTE_P_78</f>
        <v/>
      </c>
      <c r="K120" s="608"/>
      <c r="AF120" s="1696">
        <v>0</v>
      </c>
    </row>
    <row s="5305" customFormat="1" customHeight="1" ht="0.75">
      <c r="A121" s="2436"/>
      <c r="D121" s="613"/>
      <c r="E121" s="1078" t="str">
        <f>E120&amp;".0"</f>
        <v>15.0</v>
      </c>
      <c r="F121" s="1062"/>
      <c r="G121" s="1716"/>
      <c r="H121" s="1057"/>
      <c r="I121" s="1057"/>
      <c r="J121" s="1061"/>
      <c r="AF121" s="1701">
        <v>0</v>
      </c>
    </row>
    <row customHeight="1" ht="15">
      <c r="A122" s="2436"/>
      <c r="D122" s="1698"/>
      <c r="E122" s="635"/>
      <c r="F122" s="1233" t="s">
        <v>599</v>
      </c>
      <c r="G122" s="637"/>
      <c r="H122" s="638"/>
      <c r="I122" s="638"/>
      <c r="J122" s="1069" t="s">
        <v>611</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575</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5305" customFormat="1" customHeight="1" ht="0.75">
      <c r="A124" s="2436"/>
      <c r="D124" s="613"/>
      <c r="E124" s="1078" t="str">
        <f>E123&amp;".0"</f>
        <v>16.0</v>
      </c>
      <c r="F124" s="1063"/>
      <c r="G124" s="1716"/>
      <c r="H124" s="1057"/>
      <c r="I124" s="1057"/>
      <c r="J124" s="1061"/>
      <c r="AF124" s="1701">
        <v>0</v>
      </c>
    </row>
    <row customHeight="1" ht="15">
      <c r="A125" s="2436"/>
      <c r="D125" s="1698"/>
      <c r="E125" s="635"/>
      <c r="F125" s="1233" t="s">
        <v>599</v>
      </c>
      <c r="G125" s="637"/>
      <c r="H125" s="638"/>
      <c r="I125" s="638"/>
      <c r="J125" s="1069" t="s">
        <v>612</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613</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614</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601</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315</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601</v>
      </c>
      <c r="D129" s="1703"/>
      <c r="E129" s="611" t="str">
        <f>FHD_NUM_P_83</f>
        <v>19.1</v>
      </c>
      <c r="F129" s="1589" t="str">
        <f>FHD_P_83</f>
        <v>Информация о показателях физического износа объектов теплоснабжения</v>
      </c>
      <c r="G129" s="1943" t="s">
        <v>315</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601</v>
      </c>
      <c r="D130" s="1703"/>
      <c r="E130" s="611" t="str">
        <f>FHD_NUM_P_84</f>
        <v>19.2</v>
      </c>
      <c r="F130" s="1589" t="str">
        <f>FHD_P_84</f>
        <v>Информация о показателях энергетической эффективности объектов теплоснабжения</v>
      </c>
      <c r="G130" s="1943" t="s">
        <v>315</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4600"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600"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600"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600"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600"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600"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600"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600"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600"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600"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600"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600"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600"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600"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600"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600"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600"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600"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600"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600"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600"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600"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600"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600"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600"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600"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600"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600"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600"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600"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600"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600"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600"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600"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600"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600"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600"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600"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600"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600"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600"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600"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600"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600"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600"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600"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600"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600"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600"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600"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600"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600"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600"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600"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600"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600"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600"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600"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600"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600"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600"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600"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600"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4600"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4600"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4600"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4600"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4600"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4600"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4600"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4600"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4600"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4600"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4600"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4600"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4600"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4600"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4600"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4600"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4600"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4600"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4600"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4600"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4600"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4600"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4600"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4600"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4600"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4600"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4600"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4600"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4600"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4600"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4600"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4600"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4600"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4600"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4600"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4600"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4600"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4600"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4600"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4600"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4600"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4600"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4600"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4600"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4600"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4600"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4600"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4600"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4600"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4600"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4600"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4600"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4600"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4600"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4600"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4600"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4600"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4600"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4600"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4600"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4600"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4600"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4600"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4600"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4600"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4600"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4600"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4600"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4600"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4600"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4600"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4600"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4600"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4600"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4600"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4600"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4600"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4600"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4600"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4600"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4600"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4600"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4600"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4600"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4600"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4600"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4600"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4600"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4600"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4600"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4600"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4600"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4600"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9C457-EB9D-4AD7-7B7E-0.E895B5E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5350" width="14.7109375" hidden="1" customWidth="1"/>
    <col min="2" max="2" style="6040" width="17.00390625" hidden="1" customWidth="1"/>
    <col min="3" max="3" style="5796" width="3.00390625" customWidth="1"/>
    <col min="4" max="4" style="5796" width="1.8515625" hidden="1" customWidth="1"/>
    <col min="5" max="6" style="5796" width="7.00390625" customWidth="1"/>
    <col min="7" max="7" style="5796" width="29.00390625" customWidth="1"/>
    <col min="8" max="8" style="5796" width="3.7109375" customWidth="1"/>
    <col min="9" max="9" style="5796" width="5.00390625" customWidth="1"/>
    <col min="10" max="11" style="5796" width="24.00390625" customWidth="1"/>
    <col min="12" max="12" style="5796" width="3.00390625" customWidth="1"/>
    <col min="13" max="13" style="5796" width="6.00390625" customWidth="1"/>
    <col min="14" max="14" style="5796" width="25.00390625" customWidth="1"/>
    <col min="15" max="18" style="5796" width="18.00390625" customWidth="1"/>
    <col min="19" max="19" style="5796" width="93.00390625" customWidth="1"/>
    <col min="20" max="20" style="5796" width="10.00390625" customWidth="1"/>
    <col min="21" max="21" style="5305" width="10.00390625" customWidth="1"/>
    <col min="22" max="22" style="5305" width="11.00390625" customWidth="1"/>
    <col min="23" max="27" style="6040" width="10.00390625" customWidth="1"/>
    <col min="28" max="83" style="5796" width="8.00390625" customWidth="1"/>
    <col min="84" max="84" style="5796"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5796" customFormat="1" customHeight="1" ht="16.8">
      <c r="A6" s="675"/>
      <c r="B6" s="824"/>
      <c r="C6" s="574"/>
      <c r="D6" s="1123"/>
      <c r="E6" s="2241" t="str">
        <f>IF(org=0,"Не определено",org)</f>
        <v>Нарьян-Марское МУ ПОКиТС</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4600"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309</v>
      </c>
      <c r="F9" s="2167"/>
      <c r="G9" s="2167"/>
      <c r="H9" s="2167"/>
      <c r="I9" s="2167"/>
      <c r="J9" s="2167"/>
      <c r="K9" s="2167"/>
      <c r="L9" s="2167"/>
      <c r="M9" s="2167"/>
      <c r="N9" s="2167"/>
      <c r="O9" s="2167"/>
      <c r="P9" s="2167"/>
      <c r="Q9" s="2167"/>
      <c r="R9" s="2168"/>
      <c r="S9" s="2192" t="s">
        <v>310</v>
      </c>
      <c r="T9" s="399"/>
      <c r="CF9" s="570">
        <v>19</v>
      </c>
    </row>
    <row customHeight="1" ht="48.29999999999999">
      <c r="D10" s="616" t="s">
        <v>91</v>
      </c>
      <c r="E10" s="2192" t="s">
        <v>91</v>
      </c>
      <c r="F10" s="2192"/>
      <c r="G10" s="586" t="s">
        <v>311</v>
      </c>
      <c r="H10" s="2192" t="s">
        <v>91</v>
      </c>
      <c r="I10" s="2192"/>
      <c r="J10" s="586" t="s">
        <v>615</v>
      </c>
      <c r="K10" s="586" t="s">
        <v>616</v>
      </c>
      <c r="L10" s="2192" t="s">
        <v>91</v>
      </c>
      <c r="M10" s="2192"/>
      <c r="N10" s="586" t="s">
        <v>617</v>
      </c>
      <c r="O10" s="586" t="s">
        <v>618</v>
      </c>
      <c r="P10" s="586" t="s">
        <v>619</v>
      </c>
      <c r="Q10" s="586" t="s">
        <v>620</v>
      </c>
      <c r="R10" s="586" t="s">
        <v>621</v>
      </c>
      <c r="S10" s="2192"/>
      <c r="T10" s="399"/>
      <c r="CF10" s="570">
        <v>46</v>
      </c>
    </row>
    <row s="5305" customFormat="1" customHeight="1" ht="15" hidden="1">
      <c r="A11" s="1117"/>
      <c r="D11" s="1090" t="s">
        <v>112</v>
      </c>
      <c r="E11" s="1090"/>
      <c r="F11" s="1090" t="s">
        <v>113</v>
      </c>
      <c r="G11" s="1090" t="s">
        <v>93</v>
      </c>
      <c r="H11" s="1090"/>
      <c r="I11" s="1090" t="s">
        <v>94</v>
      </c>
      <c r="J11" s="1090" t="s">
        <v>114</v>
      </c>
      <c r="K11" s="1090" t="s">
        <v>95</v>
      </c>
      <c r="L11" s="1090"/>
      <c r="M11" s="1090" t="s">
        <v>96</v>
      </c>
      <c r="N11" s="1090" t="s">
        <v>115</v>
      </c>
      <c r="O11" s="1090" t="s">
        <v>151</v>
      </c>
      <c r="P11" s="1090" t="s">
        <v>152</v>
      </c>
      <c r="Q11" s="1090" t="s">
        <v>153</v>
      </c>
      <c r="R11" s="1090" t="s">
        <v>154</v>
      </c>
      <c r="S11" s="1090" t="s">
        <v>155</v>
      </c>
      <c r="U11" s="676"/>
      <c r="V11" s="676"/>
      <c r="W11" s="676"/>
      <c r="CF11" s="576">
        <v>0</v>
      </c>
    </row>
    <row s="5796" customFormat="1" customHeight="1" ht="1.05">
      <c r="A12" s="680"/>
      <c r="B12" s="427"/>
      <c r="D12" s="613"/>
      <c r="E12" s="411"/>
      <c r="F12" s="411"/>
      <c r="Q12" s="681"/>
      <c r="R12" s="682"/>
      <c r="T12" s="683"/>
      <c r="U12" s="684"/>
      <c r="V12" s="684"/>
      <c r="W12" s="685"/>
      <c r="X12" s="427"/>
      <c r="Y12" s="427"/>
      <c r="Z12" s="427"/>
      <c r="AA12" s="427"/>
      <c r="CF12" s="574">
        <v>1</v>
      </c>
    </row>
    <row s="4600" customFormat="1" customHeight="1" ht="1.05">
      <c r="A13" s="686"/>
      <c r="B13" s="631"/>
      <c r="D13" s="613" t="s">
        <v>385</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6516"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622</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6516" customFormat="1" customHeight="1" ht="15" hidden="1">
      <c r="A15" s="688"/>
      <c r="B15" s="689"/>
      <c r="C15" s="689"/>
      <c r="D15" s="2446"/>
      <c r="E15" s="2442" t="s">
        <v>577</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6516" customFormat="1" customHeight="1" ht="15" hidden="1">
      <c r="A16" s="688"/>
      <c r="B16" s="689"/>
      <c r="C16" s="689"/>
      <c r="D16" s="2446"/>
      <c r="E16" s="2442" t="s">
        <v>578</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6516" customFormat="1" customHeight="1" ht="22.5" hidden="1">
      <c r="A17" s="698"/>
      <c r="B17" s="482"/>
      <c r="C17" s="477"/>
      <c r="D17" s="2446"/>
      <c r="E17" s="2441" t="s">
        <v>623</v>
      </c>
      <c r="F17" s="2441"/>
      <c r="G17" s="2441"/>
      <c r="H17" s="2441"/>
      <c r="I17" s="2441"/>
      <c r="J17" s="2441"/>
      <c r="K17" s="2441"/>
      <c r="L17" s="2441"/>
      <c r="M17" s="2441"/>
      <c r="N17" s="2441"/>
      <c r="O17" s="2441"/>
      <c r="P17" s="2441"/>
      <c r="Q17" s="623">
        <f>SUMIF(T18:T19,"i",Q18:Q19)</f>
        <v>0</v>
      </c>
      <c r="R17" s="1082"/>
      <c r="S17" s="962" t="s">
        <v>624</v>
      </c>
      <c r="T17" s="782" t="s">
        <v>625</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6516"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6516"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6516" customFormat="1" customHeight="1" ht="22.5" hidden="1">
      <c r="A20" s="698"/>
      <c r="B20" s="482"/>
      <c r="C20" s="477"/>
      <c r="D20" s="2446"/>
      <c r="E20" s="2441" t="s">
        <v>626</v>
      </c>
      <c r="F20" s="2441"/>
      <c r="G20" s="2441"/>
      <c r="H20" s="2441"/>
      <c r="I20" s="2441"/>
      <c r="J20" s="2441"/>
      <c r="K20" s="2441"/>
      <c r="L20" s="2441"/>
      <c r="M20" s="2441"/>
      <c r="N20" s="2441"/>
      <c r="O20" s="2441"/>
      <c r="P20" s="2441"/>
      <c r="Q20" s="623">
        <f>SUMIF(T21:T22,"i",Q21:Q22)</f>
        <v>0</v>
      </c>
      <c r="R20" s="1082"/>
      <c r="S20" s="774" t="s">
        <v>627</v>
      </c>
      <c r="T20" s="782" t="s">
        <v>625</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6516"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6516"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1678D-62E5-5E1A-085D-0.1CA9AF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5180" width="10.7109375" hidden="1" customWidth="1"/>
    <col min="6" max="6" style="5745" width="16.8515625" hidden="1" customWidth="1"/>
    <col min="7" max="7" style="5305" width="5.57421875" hidden="1" customWidth="1"/>
    <col min="8" max="8" style="5796" width="3.00390625" customWidth="1"/>
    <col min="9" max="9" style="5796" width="7.00390625" customWidth="1"/>
    <col min="10" max="10" style="5796" width="56.00390625" customWidth="1"/>
    <col min="11" max="11" style="5796" width="10.00390625" customWidth="1"/>
    <col min="12" max="12" style="5796" width="40.57421875" hidden="1" customWidth="1"/>
    <col min="13" max="13" style="5796" width="40.7109375" customWidth="1"/>
    <col min="14" max="14" style="5745" width="9.7109375" hidden="1" customWidth="1"/>
    <col min="15" max="15" style="5796" width="102.00390625" customWidth="1"/>
    <col min="16" max="16" style="5745" width="9.00390625" customWidth="1"/>
    <col min="17" max="17" style="5305" width="5.00390625" customWidth="1"/>
    <col min="18" max="18" style="5305" width="3.00390625" customWidth="1"/>
    <col min="19" max="22" style="5745" width="3.00390625" customWidth="1"/>
    <col min="23" max="23" style="5305" width="10.00390625" customWidth="1"/>
    <col min="24" max="24" style="5745" width="34.00390625" customWidth="1"/>
    <col min="25" max="25" style="5745" width="9.00390625" customWidth="1"/>
    <col min="26" max="26" style="5250" width="8.00390625" customWidth="1"/>
    <col min="27" max="31" style="5745" width="8.00390625" customWidth="1"/>
    <col min="32" max="36" style="6040" width="8.00390625" customWidth="1"/>
    <col min="37" max="37" style="5796" width="5.421875" hidden="1" customWidth="1"/>
  </cols>
  <sheetData>
    <row s="5745" customFormat="1" customHeight="1" ht="33.75" hidden="1">
      <c r="A1" s="1052"/>
      <c r="B1" s="1052"/>
      <c r="C1" s="1052"/>
      <c r="D1" s="1052"/>
      <c r="E1" s="1052"/>
      <c r="G1" s="1701"/>
      <c r="H1" s="943"/>
      <c r="L1" s="1431">
        <v>4</v>
      </c>
      <c r="M1" s="1431">
        <v>4</v>
      </c>
      <c r="Q1" s="1701"/>
      <c r="R1" s="1701"/>
      <c r="W1" s="1701"/>
      <c r="AK1" s="1431" t="s">
        <v>14</v>
      </c>
    </row>
    <row s="5745" customFormat="1" customHeight="1" ht="78.75" hidden="1">
      <c r="A2" s="1052"/>
      <c r="B2" s="2118" t="s">
        <v>628</v>
      </c>
      <c r="C2" s="2118" t="s">
        <v>629</v>
      </c>
      <c r="D2" s="2117" t="s">
        <v>630</v>
      </c>
      <c r="E2" s="2121">
        <f>RIGHT(I2,LEN(I2)-SEARCH("#",SUBSTITUTE(I2,".","#",LEN(I2)-LEN(SUBSTITUTE(I2,".","")))))</f>
      </c>
      <c r="F2" s="2123">
        <f>J2</f>
        <v>0</v>
      </c>
      <c r="G2" s="1701"/>
      <c r="H2" s="2124"/>
      <c r="I2" s="2114"/>
      <c r="J2" s="605"/>
      <c r="K2" s="2084" t="s">
        <v>569</v>
      </c>
      <c r="L2" s="816"/>
      <c r="M2" s="816"/>
      <c r="N2" s="608"/>
      <c r="O2" s="1590" t="s">
        <v>570</v>
      </c>
      <c r="P2" s="608"/>
      <c r="Q2" s="1701"/>
      <c r="R2" s="1701"/>
      <c r="W2" s="1701"/>
      <c r="Z2" s="609"/>
      <c r="AF2" s="1697"/>
      <c r="AG2" s="1697"/>
      <c r="AH2" s="1697"/>
      <c r="AI2" s="1697"/>
      <c r="AJ2" s="1697"/>
      <c r="AK2" s="1431">
        <v>0</v>
      </c>
    </row>
    <row customHeight="1" ht="11.25" hidden="1">
      <c r="E3" s="2116" t="s">
        <v>631</v>
      </c>
      <c r="L3" s="1696">
        <f>0</f>
        <v>0</v>
      </c>
      <c r="M3" s="1696">
        <v>1</v>
      </c>
      <c r="AK3" s="1696">
        <v>0</v>
      </c>
    </row>
    <row s="6040"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632</v>
      </c>
      <c r="J6" s="2372"/>
      <c r="K6" s="2372"/>
      <c r="L6" s="2372"/>
      <c r="M6" s="2372"/>
      <c r="O6" s="621"/>
      <c r="AK6" s="1696">
        <v>55</v>
      </c>
    </row>
    <row customHeight="1" ht="25.2">
      <c r="I7" s="2314" t="str">
        <f>IF(org=0,"Не определено",org)</f>
        <v>Нарьян-Марское МУ ПОКиТС</v>
      </c>
      <c r="J7" s="2314"/>
      <c r="K7" s="2314"/>
      <c r="L7" s="2314"/>
      <c r="M7" s="2314"/>
      <c r="AK7" s="1696">
        <v>24</v>
      </c>
    </row>
    <row customHeight="1" ht="11.549999999999999">
      <c r="I8" s="1200"/>
      <c r="J8" s="1200"/>
      <c r="K8" s="1200"/>
      <c r="L8" s="1200"/>
      <c r="M8" s="1200"/>
      <c r="AK8" s="1696">
        <v>11</v>
      </c>
    </row>
    <row s="5305" customFormat="1" customHeight="1" ht="30" hidden="1">
      <c r="A9" s="1232"/>
      <c r="B9" s="1232"/>
      <c r="C9" s="1232"/>
      <c r="E9" s="1232"/>
      <c r="H9" s="1707"/>
      <c r="L9" s="954"/>
      <c r="M9" s="954" t="s">
        <v>120</v>
      </c>
      <c r="AK9" s="1701">
        <v>1</v>
      </c>
    </row>
    <row customHeight="1" ht="11.549999999999999">
      <c r="E10" s="2115" t="s">
        <v>633</v>
      </c>
      <c r="I10" s="776"/>
      <c r="J10" s="2432" t="s">
        <v>108</v>
      </c>
      <c r="K10" s="2433"/>
      <c r="L10" s="2094" t="str">
        <f>IF(L9="","",INDEX(DIFFERENTIATION_UNMERGE_VD,MATCH(L9,DIFFERENTIATION_ID_DIFF,0)))</f>
        <v/>
      </c>
      <c r="M10" s="2094">
        <f>IF(M9="","",INDEX(DIFFERENTIATION_UNMERGE_VD,MATCH(M9,DIFFERENTIATION_ID_DIFF,0)))</f>
        <v>0</v>
      </c>
      <c r="O10" s="2192" t="s">
        <v>310</v>
      </c>
      <c r="AK10" s="1696">
        <v>11</v>
      </c>
    </row>
    <row customHeight="1" ht="11.549999999999999">
      <c r="E11" s="2115" t="s">
        <v>634</v>
      </c>
      <c r="I11" s="776"/>
      <c r="J11" s="2432" t="s">
        <v>577</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635</v>
      </c>
      <c r="I12" s="1727"/>
      <c r="J12" s="2432" t="s">
        <v>578</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636</v>
      </c>
      <c r="F13" s="2115" t="s">
        <v>637</v>
      </c>
      <c r="I13" s="2434" t="s">
        <v>309</v>
      </c>
      <c r="J13" s="2435"/>
      <c r="K13" s="2435"/>
      <c r="L13" s="2092"/>
      <c r="M13" s="2132"/>
      <c r="O13" s="2192"/>
      <c r="AK13" s="1696">
        <v>11</v>
      </c>
    </row>
    <row customHeight="1" ht="24">
      <c r="I14" s="2085" t="s">
        <v>91</v>
      </c>
      <c r="J14" s="2085" t="s">
        <v>311</v>
      </c>
      <c r="K14" s="2085" t="s">
        <v>579</v>
      </c>
      <c r="L14" s="2125" t="s">
        <v>312</v>
      </c>
      <c r="M14" s="2126" t="s">
        <v>312</v>
      </c>
      <c r="O14" s="2192"/>
      <c r="AK14" s="1696">
        <v>23</v>
      </c>
    </row>
    <row customHeight="1" ht="24">
      <c r="A15" s="2119"/>
      <c r="B15" s="2118" t="s">
        <v>638</v>
      </c>
      <c r="C15" s="2118" t="s">
        <v>639</v>
      </c>
      <c r="D15" s="2117" t="s">
        <v>640</v>
      </c>
      <c r="E15" s="2121" t="s">
        <v>641</v>
      </c>
      <c r="F15" s="2121" t="s">
        <v>641</v>
      </c>
      <c r="G15" s="1701" t="s">
        <v>601</v>
      </c>
      <c r="H15" s="2086"/>
      <c r="I15" s="1695">
        <v>1</v>
      </c>
      <c r="J15" s="2087" t="s">
        <v>642</v>
      </c>
      <c r="K15" s="2085" t="s">
        <v>315</v>
      </c>
      <c r="L15" s="727"/>
      <c r="M15" s="883"/>
      <c r="N15" s="608" t="s">
        <v>643</v>
      </c>
      <c r="O15" s="1590" t="s">
        <v>644</v>
      </c>
      <c r="P15" s="608" t="s">
        <v>643</v>
      </c>
      <c r="AK15" s="1696">
        <v>23</v>
      </c>
    </row>
    <row customHeight="1" ht="35.699999999999996">
      <c r="A16" s="2119"/>
      <c r="B16" s="2118" t="s">
        <v>645</v>
      </c>
      <c r="C16" s="2118" t="s">
        <v>646</v>
      </c>
      <c r="D16" s="2117" t="s">
        <v>630</v>
      </c>
      <c r="E16" s="2121" t="s">
        <v>641</v>
      </c>
      <c r="F16" s="2121" t="s">
        <v>641</v>
      </c>
      <c r="H16" s="2086"/>
      <c r="I16" s="1694">
        <v>2</v>
      </c>
      <c r="J16" s="2128" t="s">
        <v>647</v>
      </c>
      <c r="K16" s="2127" t="s">
        <v>569</v>
      </c>
      <c r="L16" s="2133"/>
      <c r="M16" s="1741"/>
      <c r="N16" s="608" t="s">
        <v>643</v>
      </c>
      <c r="O16" s="1590" t="s">
        <v>648</v>
      </c>
      <c r="P16" s="608" t="s">
        <v>643</v>
      </c>
      <c r="AK16" s="1696">
        <v>34</v>
      </c>
    </row>
    <row s="5305" customFormat="1" customHeight="1" ht="17.25" hidden="1">
      <c r="A17" s="1232"/>
      <c r="B17" s="1232"/>
      <c r="C17" s="1232"/>
      <c r="D17" s="1232"/>
      <c r="E17" s="1232"/>
      <c r="H17" s="1389"/>
      <c r="I17" s="1078" t="s">
        <v>649</v>
      </c>
      <c r="J17" s="1056"/>
      <c r="K17" s="1078"/>
      <c r="L17" s="1057"/>
      <c r="M17" s="1057"/>
      <c r="O17" s="1450"/>
      <c r="AK17" s="1701">
        <v>1</v>
      </c>
    </row>
    <row s="5745" customFormat="1" customHeight="1" ht="24">
      <c r="A18" s="1052"/>
      <c r="B18" s="1052"/>
      <c r="C18" s="1052"/>
      <c r="D18" s="1052"/>
      <c r="E18" s="1052"/>
      <c r="G18" s="1701"/>
      <c r="H18" s="1698"/>
      <c r="I18" s="635"/>
      <c r="J18" s="636" t="s">
        <v>599</v>
      </c>
      <c r="K18" s="637"/>
      <c r="L18" s="2135"/>
      <c r="M18" s="638"/>
      <c r="N18" s="608"/>
      <c r="O18" s="1590" t="s">
        <v>600</v>
      </c>
      <c r="P18" s="608"/>
      <c r="Q18" s="1701"/>
      <c r="R18" s="1701"/>
      <c r="W18" s="1701"/>
      <c r="Z18" s="609"/>
      <c r="AF18" s="1697"/>
      <c r="AG18" s="1697"/>
      <c r="AH18" s="1697"/>
      <c r="AI18" s="1697"/>
      <c r="AJ18" s="1697"/>
      <c r="AK18" s="1431">
        <v>23</v>
      </c>
    </row>
    <row customHeight="1" ht="19.95">
      <c r="A19" s="2119"/>
      <c r="B19" s="2118" t="s">
        <v>650</v>
      </c>
      <c r="C19" s="2118" t="s">
        <v>651</v>
      </c>
      <c r="D19" s="2117" t="s">
        <v>630</v>
      </c>
      <c r="E19" s="2121" t="s">
        <v>641</v>
      </c>
      <c r="F19" s="2121" t="s">
        <v>641</v>
      </c>
      <c r="H19" s="2086"/>
      <c r="I19" s="1729">
        <v>3</v>
      </c>
      <c r="J19" s="2087" t="s">
        <v>651</v>
      </c>
      <c r="K19" s="2083" t="s">
        <v>569</v>
      </c>
      <c r="L19" s="792"/>
      <c r="M19" s="622"/>
      <c r="N19" s="608"/>
      <c r="O19" s="1590" t="s">
        <v>652</v>
      </c>
      <c r="P19" s="608"/>
      <c r="AK19" s="1696">
        <v>19</v>
      </c>
    </row>
    <row customHeight="1" ht="77.7">
      <c r="A20" s="2119"/>
      <c r="B20" s="2118" t="s">
        <v>653</v>
      </c>
      <c r="C20" s="2118" t="s">
        <v>654</v>
      </c>
      <c r="D20" s="2117" t="s">
        <v>630</v>
      </c>
      <c r="E20" s="2121" t="s">
        <v>641</v>
      </c>
      <c r="F20" s="2121" t="s">
        <v>641</v>
      </c>
      <c r="H20" s="2086"/>
      <c r="I20" s="1729">
        <v>4</v>
      </c>
      <c r="J20" s="2087" t="s">
        <v>655</v>
      </c>
      <c r="K20" s="2083" t="s">
        <v>596</v>
      </c>
      <c r="L20" s="792"/>
      <c r="M20" s="622"/>
      <c r="N20" s="608"/>
      <c r="O20" s="1590"/>
      <c r="P20" s="608"/>
      <c r="AK20" s="1696">
        <v>74</v>
      </c>
    </row>
    <row customHeight="1" ht="35.699999999999996">
      <c r="A21" s="2119"/>
      <c r="B21" s="2118" t="s">
        <v>656</v>
      </c>
      <c r="C21" s="2118" t="s">
        <v>657</v>
      </c>
      <c r="D21" s="2117" t="s">
        <v>630</v>
      </c>
      <c r="E21" s="2121" t="s">
        <v>641</v>
      </c>
      <c r="F21" s="2121" t="s">
        <v>641</v>
      </c>
      <c r="H21" s="2086"/>
      <c r="I21" s="1729">
        <v>5</v>
      </c>
      <c r="J21" s="2087" t="s">
        <v>658</v>
      </c>
      <c r="K21" s="2083" t="s">
        <v>596</v>
      </c>
      <c r="L21" s="792"/>
      <c r="M21" s="622"/>
      <c r="N21" s="608"/>
      <c r="O21" s="1590" t="s">
        <v>652</v>
      </c>
      <c r="P21" s="608"/>
      <c r="AK21" s="1696">
        <v>34</v>
      </c>
    </row>
    <row customHeight="1" ht="48.29999999999999">
      <c r="A22" s="2119"/>
      <c r="B22" s="2118" t="s">
        <v>659</v>
      </c>
      <c r="C22" s="2118" t="s">
        <v>660</v>
      </c>
      <c r="D22" s="2117" t="s">
        <v>630</v>
      </c>
      <c r="E22" s="2121" t="s">
        <v>641</v>
      </c>
      <c r="F22" s="2121" t="s">
        <v>641</v>
      </c>
      <c r="H22" s="2086"/>
      <c r="I22" s="1729">
        <v>6</v>
      </c>
      <c r="J22" s="2087" t="s">
        <v>661</v>
      </c>
      <c r="K22" s="2083" t="s">
        <v>596</v>
      </c>
      <c r="L22" s="792"/>
      <c r="M22" s="622"/>
      <c r="N22" s="608"/>
      <c r="O22" s="1590" t="s">
        <v>662</v>
      </c>
      <c r="P22" s="608"/>
      <c r="AK22" s="1696">
        <v>46</v>
      </c>
    </row>
    <row customHeight="1" ht="19.95">
      <c r="A23" s="2119"/>
      <c r="B23" s="2118" t="s">
        <v>663</v>
      </c>
      <c r="C23" s="2118" t="s">
        <v>664</v>
      </c>
      <c r="D23" s="2117" t="s">
        <v>630</v>
      </c>
      <c r="E23" s="2121" t="s">
        <v>641</v>
      </c>
      <c r="F23" s="2121" t="s">
        <v>641</v>
      </c>
      <c r="H23" s="2086"/>
      <c r="I23" s="1729" t="s">
        <v>665</v>
      </c>
      <c r="J23" s="1589" t="s">
        <v>666</v>
      </c>
      <c r="K23" s="2083" t="s">
        <v>596</v>
      </c>
      <c r="L23" s="792"/>
      <c r="M23" s="622"/>
      <c r="N23" s="608"/>
      <c r="O23" s="1590" t="s">
        <v>652</v>
      </c>
      <c r="P23" s="608"/>
      <c r="AK23" s="1696">
        <v>19</v>
      </c>
    </row>
    <row customHeight="1" ht="19.95">
      <c r="A24" s="2119"/>
      <c r="B24" s="2118" t="s">
        <v>667</v>
      </c>
      <c r="C24" s="2118" t="s">
        <v>668</v>
      </c>
      <c r="D24" s="2117" t="s">
        <v>630</v>
      </c>
      <c r="E24" s="2121" t="s">
        <v>641</v>
      </c>
      <c r="F24" s="2121" t="s">
        <v>641</v>
      </c>
      <c r="H24" s="2086"/>
      <c r="I24" s="1729" t="s">
        <v>669</v>
      </c>
      <c r="J24" s="1589" t="s">
        <v>670</v>
      </c>
      <c r="K24" s="2083" t="s">
        <v>596</v>
      </c>
      <c r="L24" s="792"/>
      <c r="M24" s="622"/>
      <c r="N24" s="608"/>
      <c r="O24" s="1590"/>
      <c r="P24" s="608"/>
      <c r="AK24" s="1696">
        <v>19</v>
      </c>
    </row>
    <row customHeight="1" ht="24">
      <c r="A25" s="2119"/>
      <c r="B25" s="2118" t="s">
        <v>671</v>
      </c>
      <c r="C25" s="2118" t="s">
        <v>672</v>
      </c>
      <c r="D25" s="2117" t="s">
        <v>630</v>
      </c>
      <c r="E25" s="2121" t="s">
        <v>641</v>
      </c>
      <c r="F25" s="2121" t="s">
        <v>641</v>
      </c>
      <c r="H25" s="2086"/>
      <c r="I25" s="1729" t="s">
        <v>673</v>
      </c>
      <c r="J25" s="1589" t="s">
        <v>674</v>
      </c>
      <c r="K25" s="2083" t="s">
        <v>596</v>
      </c>
      <c r="L25" s="792"/>
      <c r="M25" s="622"/>
      <c r="N25" s="608"/>
      <c r="O25" s="1590"/>
      <c r="P25" s="608"/>
      <c r="AK25" s="1696">
        <v>23</v>
      </c>
    </row>
    <row customHeight="1" ht="24">
      <c r="A26" s="2119"/>
      <c r="B26" s="2118" t="s">
        <v>675</v>
      </c>
      <c r="C26" s="2118" t="s">
        <v>676</v>
      </c>
      <c r="D26" s="2117" t="s">
        <v>630</v>
      </c>
      <c r="E26" s="2121" t="s">
        <v>641</v>
      </c>
      <c r="F26" s="2121" t="s">
        <v>641</v>
      </c>
      <c r="H26" s="2086"/>
      <c r="I26" s="1729">
        <v>7</v>
      </c>
      <c r="J26" s="2087" t="s">
        <v>676</v>
      </c>
      <c r="K26" s="2083" t="s">
        <v>677</v>
      </c>
      <c r="L26" s="792"/>
      <c r="M26" s="622"/>
      <c r="N26" s="608"/>
      <c r="O26" s="1590"/>
      <c r="P26" s="608"/>
      <c r="AK26" s="1696">
        <v>23</v>
      </c>
    </row>
    <row customHeight="1" ht="24">
      <c r="A27" s="2119"/>
      <c r="B27" s="2118" t="s">
        <v>678</v>
      </c>
      <c r="C27" s="2118" t="s">
        <v>679</v>
      </c>
      <c r="D27" s="2117" t="s">
        <v>630</v>
      </c>
      <c r="E27" s="2121" t="s">
        <v>641</v>
      </c>
      <c r="F27" s="2121" t="s">
        <v>641</v>
      </c>
      <c r="H27" s="2086"/>
      <c r="I27" s="1729">
        <v>8</v>
      </c>
      <c r="J27" s="2087" t="s">
        <v>679</v>
      </c>
      <c r="K27" s="2083" t="s">
        <v>602</v>
      </c>
      <c r="L27" s="792"/>
      <c r="M27" s="622"/>
      <c r="N27" s="608"/>
      <c r="O27" s="1590"/>
      <c r="P27" s="608"/>
      <c r="AK27" s="1696">
        <v>23</v>
      </c>
    </row>
    <row customHeight="1" ht="35.699999999999996">
      <c r="A28" s="2119"/>
      <c r="B28" s="2118" t="s">
        <v>680</v>
      </c>
      <c r="C28" s="2118" t="s">
        <v>681</v>
      </c>
      <c r="D28" s="2117" t="s">
        <v>630</v>
      </c>
      <c r="E28" s="2121" t="s">
        <v>641</v>
      </c>
      <c r="F28" s="2121" t="s">
        <v>641</v>
      </c>
      <c r="H28" s="2086"/>
      <c r="I28" s="1740">
        <v>9</v>
      </c>
      <c r="J28" s="2087" t="s">
        <v>682</v>
      </c>
      <c r="K28" s="2083" t="s">
        <v>573</v>
      </c>
      <c r="L28" s="792"/>
      <c r="M28" s="622"/>
      <c r="N28" s="608"/>
      <c r="O28" s="1590"/>
      <c r="P28" s="608"/>
      <c r="AK28" s="1696">
        <v>34</v>
      </c>
    </row>
    <row customHeight="1" ht="35.699999999999996">
      <c r="A29" s="2119"/>
      <c r="B29" s="2118" t="s">
        <v>683</v>
      </c>
      <c r="C29" s="2118" t="s">
        <v>684</v>
      </c>
      <c r="D29" s="2117" t="s">
        <v>630</v>
      </c>
      <c r="E29" s="2121" t="s">
        <v>641</v>
      </c>
      <c r="F29" s="2121" t="s">
        <v>641</v>
      </c>
      <c r="H29" s="2086"/>
      <c r="I29" s="1740">
        <v>10</v>
      </c>
      <c r="J29" s="2087" t="s">
        <v>685</v>
      </c>
      <c r="K29" s="2083" t="s">
        <v>573</v>
      </c>
      <c r="L29" s="792"/>
      <c r="M29" s="622"/>
      <c r="N29" s="608"/>
      <c r="O29" s="1590"/>
      <c r="P29" s="608"/>
      <c r="AK29" s="1696">
        <v>34</v>
      </c>
    </row>
    <row customHeight="1" ht="24">
      <c r="A30" s="2119"/>
      <c r="B30" s="2118" t="s">
        <v>686</v>
      </c>
      <c r="C30" s="2118" t="s">
        <v>687</v>
      </c>
      <c r="D30" s="2117" t="s">
        <v>630</v>
      </c>
      <c r="E30" s="2121" t="s">
        <v>641</v>
      </c>
      <c r="F30" s="2121" t="s">
        <v>641</v>
      </c>
      <c r="H30" s="2086"/>
      <c r="I30" s="1740">
        <v>11</v>
      </c>
      <c r="J30" s="2087" t="s">
        <v>687</v>
      </c>
      <c r="K30" s="2083" t="s">
        <v>603</v>
      </c>
      <c r="L30" s="2134"/>
      <c r="M30" s="1686"/>
      <c r="N30" s="608"/>
      <c r="O30" s="1590"/>
      <c r="P30" s="608"/>
      <c r="AK30" s="1696">
        <v>23</v>
      </c>
    </row>
    <row customHeight="1" ht="24">
      <c r="A31" s="2119"/>
      <c r="B31" s="2118" t="s">
        <v>688</v>
      </c>
      <c r="C31" s="2118" t="s">
        <v>689</v>
      </c>
      <c r="D31" s="2117" t="s">
        <v>630</v>
      </c>
      <c r="E31" s="2121" t="s">
        <v>641</v>
      </c>
      <c r="F31" s="2121" t="s">
        <v>641</v>
      </c>
      <c r="H31" s="2086"/>
      <c r="I31" s="1740">
        <v>12</v>
      </c>
      <c r="J31" s="2087" t="s">
        <v>689</v>
      </c>
      <c r="K31" s="2083" t="s">
        <v>603</v>
      </c>
      <c r="L31" s="2134"/>
      <c r="M31" s="1686"/>
      <c r="N31" s="608"/>
      <c r="O31" s="1590"/>
      <c r="P31" s="608"/>
      <c r="AK31" s="1696">
        <v>23</v>
      </c>
    </row>
    <row customHeight="1" ht="48.29999999999999">
      <c r="A32" s="2119"/>
      <c r="B32" s="2118" t="s">
        <v>690</v>
      </c>
      <c r="C32" s="2118" t="s">
        <v>691</v>
      </c>
      <c r="D32" s="2117" t="s">
        <v>630</v>
      </c>
      <c r="E32" s="2121" t="s">
        <v>641</v>
      </c>
      <c r="F32" s="2121" t="s">
        <v>641</v>
      </c>
      <c r="H32" s="2086"/>
      <c r="I32" s="1740">
        <v>13</v>
      </c>
      <c r="J32" s="2087" t="s">
        <v>692</v>
      </c>
      <c r="K32" s="2083" t="s">
        <v>613</v>
      </c>
      <c r="L32" s="792"/>
      <c r="M32" s="622"/>
      <c r="N32" s="608"/>
      <c r="O32" s="1590" t="s">
        <v>652</v>
      </c>
      <c r="P32" s="608"/>
      <c r="AK32" s="1696">
        <v>46</v>
      </c>
    </row>
    <row s="5745" customFormat="1" customHeight="1" ht="48.29999999999999">
      <c r="A33" s="2119"/>
      <c r="B33" s="2118" t="s">
        <v>693</v>
      </c>
      <c r="C33" s="2118" t="s">
        <v>694</v>
      </c>
      <c r="D33" s="2117" t="s">
        <v>630</v>
      </c>
      <c r="E33" s="2121" t="s">
        <v>641</v>
      </c>
      <c r="F33" s="2121" t="s">
        <v>641</v>
      </c>
      <c r="G33" s="1701"/>
      <c r="H33" s="2086"/>
      <c r="I33" s="1740">
        <v>14</v>
      </c>
      <c r="J33" s="2099" t="s">
        <v>695</v>
      </c>
      <c r="K33" s="2088" t="s">
        <v>696</v>
      </c>
      <c r="L33" s="792"/>
      <c r="M33" s="622"/>
      <c r="N33" s="608"/>
      <c r="O33" s="1590" t="s">
        <v>652</v>
      </c>
      <c r="P33" s="608"/>
      <c r="Q33" s="1701"/>
      <c r="R33" s="1701"/>
      <c r="W33" s="1701"/>
      <c r="Z33" s="609"/>
      <c r="AF33" s="1697"/>
      <c r="AG33" s="1697"/>
      <c r="AH33" s="1697"/>
      <c r="AI33" s="1697"/>
      <c r="AJ33" s="1697"/>
      <c r="AK33" s="1431">
        <v>46</v>
      </c>
    </row>
    <row customHeight="1" ht="108">
      <c r="A34" s="2119"/>
      <c r="B34" s="2118" t="s">
        <v>697</v>
      </c>
      <c r="C34" s="2118" t="s">
        <v>698</v>
      </c>
      <c r="D34" s="2117" t="s">
        <v>640</v>
      </c>
      <c r="E34" s="2121" t="s">
        <v>641</v>
      </c>
      <c r="F34" s="2121" t="s">
        <v>641</v>
      </c>
      <c r="G34" s="1701" t="s">
        <v>601</v>
      </c>
      <c r="H34" s="2086"/>
      <c r="I34" s="2097">
        <v>15</v>
      </c>
      <c r="J34" s="2098" t="s">
        <v>699</v>
      </c>
      <c r="K34" s="2083" t="s">
        <v>315</v>
      </c>
      <c r="L34" s="450"/>
      <c r="M34" s="1229"/>
      <c r="N34" s="608"/>
      <c r="O34" s="1590" t="s">
        <v>644</v>
      </c>
      <c r="P34" s="608"/>
      <c r="AK34" s="1696">
        <v>103</v>
      </c>
    </row>
    <row s="4600"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4600"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4600"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4600"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4600"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4600"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4600"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4600"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4600"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4600"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4600"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4600"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4600"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4600"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4600"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4600"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4600"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4600"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4600"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4600"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4600"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4600"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4600"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4600"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4600"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4600"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4600"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4600"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4600"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4600"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4600"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4600"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4600"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4600"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4600"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4600"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4600"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4600"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4600"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4600"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4600"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4600"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4600"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4600"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4600"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4600"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4600"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4600"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4600"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4600"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4600"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4600"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4600"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4600"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4600"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4600"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4600"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4600"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4600"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4600"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4600"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4600"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4600"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4600"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4600"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4600"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4600"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4600"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4600"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4600"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4600"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4600"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4600"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4600"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4600"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4600"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4600"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4600"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4600"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4600"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4600"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4600"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4600"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4600"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4600"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4600"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4600"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4600"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4600"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4600"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4600"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4600"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4600"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4600"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4600"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4600"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4600"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4600"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4600"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4600"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4600"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4600"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4600"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4600"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4600"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4600"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4600"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4600"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4600"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4600"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4600"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4600"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4600"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4600"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4600"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4600"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4600"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4600"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4600"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4600"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4600"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4600"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4600"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4600"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4600"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4600"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4600"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4600"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4600"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4600"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4600"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4600"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4600"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4600"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4600"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4600"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4600"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4600"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4600"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4600"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4600"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4600"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4600"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4600"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4600"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4600"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4600"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4600"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4600"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4600"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4600"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4600"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4600"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4600"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4600"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93142-98DA-8585-9D74-0.75A0234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796" width="10.57421875" hidden="1"/>
    <col min="5" max="5" style="6479" width="9.140625" hidden="1" customWidth="1"/>
    <col min="6" max="7" style="5745" width="9.140625" hidden="1" customWidth="1"/>
    <col min="8" max="8" style="5766" width="3.00390625" customWidth="1"/>
    <col min="9" max="9" style="5796" width="6.00390625" customWidth="1"/>
    <col min="10" max="10" style="5796" width="63.00390625" customWidth="1"/>
    <col min="11" max="11" style="5796" width="9.00390625" customWidth="1"/>
    <col min="12" max="12" style="5796" width="39.00390625" customWidth="1"/>
    <col min="13" max="13" style="5796" width="89.00390625" customWidth="1"/>
    <col min="14" max="14" style="5796" width="10.00390625" customWidth="1"/>
    <col min="15" max="16" style="5748" width="10.00390625" customWidth="1"/>
    <col min="17" max="22" style="5796" width="10.00390625" customWidth="1"/>
    <col min="23" max="23" style="5796" width="10.57421875" hidden="1"/>
  </cols>
  <sheetData>
    <row customHeight="1" ht="22.5" hidden="1">
      <c r="S1" s="320"/>
      <c r="T1" s="320"/>
      <c r="V1" s="320"/>
      <c r="W1" s="1696" t="s">
        <v>14</v>
      </c>
    </row>
    <row customHeight="1" ht="22.5" hidden="1">
      <c r="B2" s="2118" t="s">
        <v>700</v>
      </c>
      <c r="C2" s="2118" t="s">
        <v>701</v>
      </c>
      <c r="D2" s="2117" t="s">
        <v>640</v>
      </c>
      <c r="E2" s="2123">
        <f>I2-3</f>
        <v>-3</v>
      </c>
      <c r="F2" s="2123">
        <f>J2</f>
        <v>0</v>
      </c>
      <c r="H2" s="1795" t="s">
        <v>454</v>
      </c>
      <c r="I2" s="2089"/>
      <c r="J2" s="1747"/>
      <c r="K2" s="2083" t="s">
        <v>315</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702</v>
      </c>
      <c r="J5" s="2313"/>
      <c r="K5" s="2313"/>
      <c r="L5" s="2313"/>
      <c r="M5" s="331"/>
      <c r="W5" s="1696">
        <v>48</v>
      </c>
    </row>
    <row customHeight="1" ht="18">
      <c r="H6" s="441"/>
      <c r="I6" s="2314" t="str">
        <f>IF(org=0,"Не определено",org)</f>
        <v>Нарьян-Марское МУ ПОКиТС</v>
      </c>
      <c r="J6" s="2314"/>
      <c r="K6" s="2314"/>
      <c r="L6" s="2314"/>
      <c r="M6" s="331"/>
      <c r="W6" s="1696">
        <v>17</v>
      </c>
    </row>
    <row customHeight="1" ht="14.699999999999998">
      <c r="H7" s="441"/>
      <c r="I7" s="522"/>
      <c r="J7" s="528"/>
      <c r="K7" s="528"/>
      <c r="L7" s="817"/>
      <c r="M7" s="258"/>
      <c r="W7" s="1696">
        <v>14</v>
      </c>
    </row>
    <row customHeight="1" ht="14.699999999999998">
      <c r="H8" s="441"/>
      <c r="I8" s="2451" t="s">
        <v>309</v>
      </c>
      <c r="J8" s="2452"/>
      <c r="K8" s="2452"/>
      <c r="L8" s="2453"/>
      <c r="M8" s="2454" t="s">
        <v>310</v>
      </c>
      <c r="W8" s="1696">
        <v>14</v>
      </c>
    </row>
    <row customHeight="1" ht="35.699999999999996">
      <c r="E9" s="2116" t="s">
        <v>631</v>
      </c>
      <c r="F9" s="2116" t="s">
        <v>637</v>
      </c>
      <c r="H9" s="441"/>
      <c r="I9" s="2090" t="s">
        <v>91</v>
      </c>
      <c r="J9" s="2091" t="s">
        <v>311</v>
      </c>
      <c r="K9" s="2129" t="s">
        <v>579</v>
      </c>
      <c r="L9" s="2130" t="s">
        <v>312</v>
      </c>
      <c r="M9" s="2454"/>
      <c r="W9" s="1696">
        <v>34</v>
      </c>
    </row>
    <row customHeight="1" ht="35.699999999999996">
      <c r="B10" s="2118" t="s">
        <v>703</v>
      </c>
      <c r="C10" s="2118" t="s">
        <v>704</v>
      </c>
      <c r="D10" s="2117" t="s">
        <v>640</v>
      </c>
      <c r="E10" s="2121" t="s">
        <v>641</v>
      </c>
      <c r="F10" s="2121" t="s">
        <v>641</v>
      </c>
      <c r="H10" s="441"/>
      <c r="I10" s="2089" t="s">
        <v>112</v>
      </c>
      <c r="J10" s="1951" t="s">
        <v>705</v>
      </c>
      <c r="K10" s="2083" t="s">
        <v>315</v>
      </c>
      <c r="L10" s="883"/>
      <c r="M10" s="362" t="s">
        <v>706</v>
      </c>
      <c r="W10" s="1696">
        <v>34</v>
      </c>
    </row>
    <row customHeight="1" ht="50.25">
      <c r="B11" s="2118" t="s">
        <v>707</v>
      </c>
      <c r="C11" s="2118" t="s">
        <v>708</v>
      </c>
      <c r="D11" s="2117" t="s">
        <v>640</v>
      </c>
      <c r="E11" s="2121" t="s">
        <v>641</v>
      </c>
      <c r="F11" s="2121" t="s">
        <v>641</v>
      </c>
      <c r="H11" s="441"/>
      <c r="I11" s="2089" t="s">
        <v>113</v>
      </c>
      <c r="J11" s="1951" t="s">
        <v>709</v>
      </c>
      <c r="K11" s="2083" t="s">
        <v>315</v>
      </c>
      <c r="L11" s="883"/>
      <c r="M11" s="362" t="s">
        <v>706</v>
      </c>
      <c r="W11" s="1696">
        <v>48</v>
      </c>
    </row>
    <row customHeight="1" ht="48.29999999999999">
      <c r="B12" s="2118" t="s">
        <v>710</v>
      </c>
      <c r="C12" s="2118" t="s">
        <v>711</v>
      </c>
      <c r="D12" s="2117" t="s">
        <v>640</v>
      </c>
      <c r="E12" s="2121" t="s">
        <v>641</v>
      </c>
      <c r="F12" s="2121" t="s">
        <v>641</v>
      </c>
      <c r="H12" s="1753"/>
      <c r="I12" s="2089" t="s">
        <v>93</v>
      </c>
      <c r="J12" s="2096" t="s">
        <v>712</v>
      </c>
      <c r="K12" s="2083" t="s">
        <v>315</v>
      </c>
      <c r="L12" s="883"/>
      <c r="M12" s="362" t="s">
        <v>713</v>
      </c>
      <c r="N12" s="1689"/>
      <c r="P12" s="1696"/>
      <c r="W12" s="1696">
        <v>46</v>
      </c>
    </row>
    <row customHeight="1" ht="14.699999999999998">
      <c r="E13" s="408"/>
      <c r="H13" s="441"/>
      <c r="I13" s="412"/>
      <c r="J13" s="716" t="s">
        <v>714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DEFDB-729B-8DCA-D1DC-0.55F009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5180" width="10.7109375" hidden="1" customWidth="1"/>
    <col min="2" max="2" style="5745" width="16.8515625" hidden="1" customWidth="1"/>
    <col min="3" max="3" style="5305" width="5.57421875" hidden="1" customWidth="1"/>
    <col min="4" max="4" style="5796" width="3.00390625" customWidth="1"/>
    <col min="5" max="5" style="5796" width="7.00390625" customWidth="1"/>
    <col min="6" max="6" style="5796" width="56.00390625" customWidth="1"/>
    <col min="7" max="7" style="5796" width="10.00390625" customWidth="1"/>
    <col min="8" max="8" style="5796" width="40.7109375" hidden="1" customWidth="1"/>
    <col min="9" max="9" style="5796" width="40.00390625" customWidth="1"/>
    <col min="10" max="10" style="5796" width="102.00390625" customWidth="1"/>
    <col min="11" max="11" style="5745" width="9.00390625" customWidth="1"/>
    <col min="12" max="12" style="5305" width="5.00390625" customWidth="1"/>
    <col min="13" max="13" style="5305" width="3.00390625" customWidth="1"/>
    <col min="14" max="17" style="5745" width="3.00390625" customWidth="1"/>
    <col min="18" max="18" style="5305" width="10.00390625" customWidth="1"/>
    <col min="19" max="19" style="5745" width="34.00390625" customWidth="1"/>
    <col min="20" max="20" style="5745" width="9.00390625" customWidth="1"/>
    <col min="21" max="21" style="5250" width="8.00390625" customWidth="1"/>
    <col min="22" max="26" style="5745" width="8.00390625" customWidth="1"/>
    <col min="27" max="31" style="6040" width="8.00390625" customWidth="1"/>
    <col min="32" max="32" style="5796" width="10.421875" hidden="1" customWidth="1"/>
  </cols>
  <sheetData>
    <row s="5745" customFormat="1" customHeight="1" ht="22.5" hidden="1">
      <c r="A1" s="1052"/>
      <c r="C1" s="1701"/>
      <c r="D1" s="602"/>
      <c r="H1" s="1225">
        <v>4</v>
      </c>
      <c r="I1" s="1225">
        <v>4</v>
      </c>
      <c r="L1" s="1701"/>
      <c r="M1" s="1701"/>
      <c r="R1" s="1701"/>
      <c r="AF1" s="1225" t="s">
        <v>14</v>
      </c>
    </row>
    <row s="5745" customFormat="1" customHeight="1" ht="22.5" hidden="1">
      <c r="A2" s="1052"/>
      <c r="C2" s="1701"/>
      <c r="D2" s="603"/>
      <c r="E2" s="1702"/>
      <c r="F2" s="605"/>
      <c r="G2" s="1704" t="s">
        <v>565</v>
      </c>
      <c r="H2" s="606"/>
      <c r="I2" s="606"/>
      <c r="J2" s="607" t="s">
        <v>715</v>
      </c>
      <c r="K2" s="608"/>
      <c r="L2" s="1701"/>
      <c r="M2" s="1701"/>
      <c r="R2" s="1701"/>
      <c r="U2" s="609"/>
      <c r="AA2" s="1697"/>
      <c r="AB2" s="1697"/>
      <c r="AC2" s="1697"/>
      <c r="AD2" s="1697"/>
      <c r="AE2" s="1697"/>
      <c r="AF2" s="1225">
        <v>0</v>
      </c>
    </row>
    <row customHeight="1" ht="11.25" hidden="1">
      <c r="AF3" s="1696">
        <v>0</v>
      </c>
    </row>
    <row s="6040"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716</v>
      </c>
      <c r="F6" s="2372"/>
      <c r="G6" s="2372"/>
      <c r="H6" s="2372"/>
      <c r="I6" s="2372"/>
      <c r="J6" s="621"/>
      <c r="AF6" s="1696">
        <v>30</v>
      </c>
    </row>
    <row customHeight="1" ht="11.549999999999999">
      <c r="E7" s="2314" t="str">
        <f>IF(org=0,"Не определено",org)</f>
        <v>Нарьян-Марское МУ ПОКиТС</v>
      </c>
      <c r="F7" s="2314"/>
      <c r="G7" s="2314"/>
      <c r="H7" s="2314"/>
      <c r="I7" s="2314"/>
      <c r="AF7" s="1696">
        <v>11</v>
      </c>
    </row>
    <row customHeight="1" ht="11.549999999999999">
      <c r="E8" s="1200"/>
      <c r="F8" s="1200"/>
      <c r="G8" s="1200"/>
      <c r="H8" s="1200"/>
      <c r="I8" s="1200"/>
      <c r="AF8" s="1696">
        <v>11</v>
      </c>
    </row>
    <row s="5305"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577</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578</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309</v>
      </c>
      <c r="F13" s="2435"/>
      <c r="G13" s="2435"/>
      <c r="H13" s="1616"/>
      <c r="I13" s="1616"/>
      <c r="J13" s="2192"/>
      <c r="AF13" s="1696">
        <v>11</v>
      </c>
    </row>
    <row customHeight="1" ht="24">
      <c r="E14" s="1704" t="s">
        <v>91</v>
      </c>
      <c r="F14" s="1699" t="s">
        <v>311</v>
      </c>
      <c r="G14" s="1699" t="s">
        <v>579</v>
      </c>
      <c r="H14" s="1699" t="s">
        <v>312</v>
      </c>
      <c r="I14" s="1699" t="s">
        <v>312</v>
      </c>
      <c r="J14" s="2192"/>
      <c r="AF14" s="1696">
        <v>23</v>
      </c>
    </row>
    <row customHeight="1" ht="19.95">
      <c r="D15" s="1703"/>
      <c r="E15" s="1695" t="s">
        <v>112</v>
      </c>
      <c r="F15" s="772" t="s">
        <v>717</v>
      </c>
      <c r="G15" s="1711" t="s">
        <v>565</v>
      </c>
      <c r="H15" s="622"/>
      <c r="I15" s="622"/>
      <c r="J15" s="354" t="s">
        <v>718</v>
      </c>
      <c r="K15" s="608" t="s">
        <v>643</v>
      </c>
      <c r="AF15" s="1696">
        <v>19</v>
      </c>
    </row>
    <row customHeight="1" ht="35.699999999999996">
      <c r="D16" s="1703"/>
      <c r="E16" s="1695" t="s">
        <v>113</v>
      </c>
      <c r="F16" s="772" t="s">
        <v>719</v>
      </c>
      <c r="G16" s="1711" t="s">
        <v>565</v>
      </c>
      <c r="H16" s="623">
        <f>SUM(H17,H20:H32)</f>
        <v>0</v>
      </c>
      <c r="I16" s="623">
        <f>SUM(I17,I20,I23,I26,I29:I32)</f>
        <v>0</v>
      </c>
      <c r="J16" s="354" t="s">
        <v>720</v>
      </c>
      <c r="K16" s="608" t="s">
        <v>643</v>
      </c>
      <c r="AF16" s="1696">
        <v>34</v>
      </c>
    </row>
    <row customHeight="1" ht="19.95">
      <c r="D17" s="1703"/>
      <c r="E17" s="1729" t="s">
        <v>721</v>
      </c>
      <c r="F17" s="1019" t="s">
        <v>722</v>
      </c>
      <c r="G17" s="1708" t="s">
        <v>565</v>
      </c>
      <c r="H17" s="622"/>
      <c r="I17" s="622"/>
      <c r="J17" s="354" t="s">
        <v>723</v>
      </c>
      <c r="K17" s="608"/>
      <c r="AF17" s="1696">
        <v>19</v>
      </c>
    </row>
    <row customHeight="1" ht="24">
      <c r="D18" s="1703"/>
      <c r="E18" s="1729" t="s">
        <v>724</v>
      </c>
      <c r="F18" s="1715" t="s">
        <v>725</v>
      </c>
      <c r="G18" s="1708" t="s">
        <v>565</v>
      </c>
      <c r="H18" s="622"/>
      <c r="I18" s="622"/>
      <c r="J18" s="354" t="s">
        <v>726</v>
      </c>
      <c r="K18" s="608"/>
      <c r="AF18" s="1696">
        <v>23</v>
      </c>
    </row>
    <row customHeight="1" ht="35.699999999999996">
      <c r="D19" s="1703"/>
      <c r="E19" s="1729" t="s">
        <v>727</v>
      </c>
      <c r="F19" s="1715" t="s">
        <v>728</v>
      </c>
      <c r="G19" s="1708" t="s">
        <v>565</v>
      </c>
      <c r="H19" s="622"/>
      <c r="I19" s="622"/>
      <c r="J19" s="354"/>
      <c r="K19" s="608"/>
      <c r="AF19" s="1696">
        <v>34</v>
      </c>
    </row>
    <row customHeight="1" ht="19.95">
      <c r="D20" s="1703"/>
      <c r="E20" s="1729" t="s">
        <v>316</v>
      </c>
      <c r="F20" s="1019" t="s">
        <v>729</v>
      </c>
      <c r="G20" s="1708" t="s">
        <v>565</v>
      </c>
      <c r="H20" s="622"/>
      <c r="I20" s="622"/>
      <c r="J20" s="354" t="s">
        <v>730</v>
      </c>
      <c r="K20" s="608"/>
      <c r="AF20" s="1696">
        <v>19</v>
      </c>
    </row>
    <row customHeight="1" ht="19.95">
      <c r="D21" s="1703"/>
      <c r="E21" s="1729" t="s">
        <v>731</v>
      </c>
      <c r="F21" s="1715" t="s">
        <v>732</v>
      </c>
      <c r="G21" s="1708" t="s">
        <v>565</v>
      </c>
      <c r="H21" s="622"/>
      <c r="I21" s="622"/>
      <c r="J21" s="354"/>
      <c r="K21" s="608"/>
      <c r="AF21" s="1696">
        <v>19</v>
      </c>
    </row>
    <row customHeight="1" ht="19.95">
      <c r="D22" s="1703"/>
      <c r="E22" s="1729" t="s">
        <v>733</v>
      </c>
      <c r="F22" s="1715" t="s">
        <v>734</v>
      </c>
      <c r="G22" s="1708" t="s">
        <v>565</v>
      </c>
      <c r="H22" s="622"/>
      <c r="I22" s="622"/>
      <c r="J22" s="354"/>
      <c r="K22" s="608"/>
      <c r="AF22" s="1696">
        <v>19</v>
      </c>
    </row>
    <row customHeight="1" ht="24">
      <c r="D23" s="1703"/>
      <c r="E23" s="1729" t="s">
        <v>319</v>
      </c>
      <c r="F23" s="1019" t="s">
        <v>735</v>
      </c>
      <c r="G23" s="1708" t="s">
        <v>565</v>
      </c>
      <c r="H23" s="622"/>
      <c r="I23" s="622"/>
      <c r="J23" s="354" t="s">
        <v>736</v>
      </c>
      <c r="K23" s="608"/>
      <c r="AF23" s="1696">
        <v>23</v>
      </c>
    </row>
    <row customHeight="1" ht="19.95">
      <c r="D24" s="1703"/>
      <c r="E24" s="1729" t="s">
        <v>737</v>
      </c>
      <c r="F24" s="1715" t="s">
        <v>738</v>
      </c>
      <c r="G24" s="1708" t="s">
        <v>565</v>
      </c>
      <c r="H24" s="622"/>
      <c r="I24" s="622"/>
      <c r="J24" s="354"/>
      <c r="K24" s="608"/>
      <c r="AF24" s="1696">
        <v>19</v>
      </c>
    </row>
    <row customHeight="1" ht="35.699999999999996">
      <c r="D25" s="1703"/>
      <c r="E25" s="1729" t="s">
        <v>739</v>
      </c>
      <c r="F25" s="1715" t="s">
        <v>740</v>
      </c>
      <c r="G25" s="1708" t="s">
        <v>565</v>
      </c>
      <c r="H25" s="622"/>
      <c r="I25" s="622"/>
      <c r="J25" s="354"/>
      <c r="K25" s="608"/>
      <c r="AF25" s="1696">
        <v>34</v>
      </c>
    </row>
    <row customHeight="1" ht="24">
      <c r="D26" s="1703"/>
      <c r="E26" s="1729" t="s">
        <v>741</v>
      </c>
      <c r="F26" s="1019" t="s">
        <v>742</v>
      </c>
      <c r="G26" s="1708" t="s">
        <v>565</v>
      </c>
      <c r="H26" s="622"/>
      <c r="I26" s="622"/>
      <c r="J26" s="354" t="s">
        <v>743</v>
      </c>
      <c r="K26" s="608"/>
      <c r="AF26" s="1696">
        <v>23</v>
      </c>
    </row>
    <row customHeight="1" ht="19.95">
      <c r="D27" s="1703"/>
      <c r="E27" s="1740" t="s">
        <v>744</v>
      </c>
      <c r="F27" s="1715" t="s">
        <v>745</v>
      </c>
      <c r="G27" s="1719" t="s">
        <v>565</v>
      </c>
      <c r="H27" s="1741"/>
      <c r="I27" s="1741"/>
      <c r="J27" s="354"/>
      <c r="K27" s="608"/>
      <c r="AF27" s="1696">
        <v>19</v>
      </c>
    </row>
    <row customHeight="1" ht="19.95">
      <c r="D28" s="1703"/>
      <c r="E28" s="1740" t="s">
        <v>746</v>
      </c>
      <c r="F28" s="1715" t="s">
        <v>747</v>
      </c>
      <c r="G28" s="1719" t="s">
        <v>565</v>
      </c>
      <c r="H28" s="1741"/>
      <c r="I28" s="1741"/>
      <c r="J28" s="354"/>
      <c r="K28" s="608"/>
      <c r="AF28" s="1696">
        <v>19</v>
      </c>
    </row>
    <row customHeight="1" ht="19.95">
      <c r="D29" s="1703"/>
      <c r="E29" s="1740" t="s">
        <v>748</v>
      </c>
      <c r="F29" s="1019" t="s">
        <v>749</v>
      </c>
      <c r="G29" s="1719" t="s">
        <v>565</v>
      </c>
      <c r="H29" s="1741"/>
      <c r="I29" s="1741"/>
      <c r="J29" s="354"/>
      <c r="K29" s="608"/>
      <c r="AF29" s="1696">
        <v>19</v>
      </c>
    </row>
    <row customHeight="1" ht="19.95">
      <c r="D30" s="1703"/>
      <c r="E30" s="1740" t="s">
        <v>750</v>
      </c>
      <c r="F30" s="1019" t="s">
        <v>751</v>
      </c>
      <c r="G30" s="1719" t="s">
        <v>565</v>
      </c>
      <c r="H30" s="1741"/>
      <c r="I30" s="1741"/>
      <c r="J30" s="354"/>
      <c r="K30" s="608"/>
      <c r="AF30" s="1696">
        <v>19</v>
      </c>
    </row>
    <row customHeight="1" ht="19.95">
      <c r="D31" s="1703"/>
      <c r="E31" s="1740" t="s">
        <v>752</v>
      </c>
      <c r="F31" s="1019" t="s">
        <v>753</v>
      </c>
      <c r="G31" s="1719" t="s">
        <v>565</v>
      </c>
      <c r="H31" s="1741"/>
      <c r="I31" s="1741"/>
      <c r="J31" s="354"/>
      <c r="K31" s="608"/>
      <c r="AF31" s="1696">
        <v>19</v>
      </c>
    </row>
    <row s="5745" customFormat="1" customHeight="1" ht="35.699999999999996">
      <c r="A32" s="1052"/>
      <c r="C32" s="1701"/>
      <c r="D32" s="1703"/>
      <c r="E32" s="1740" t="s">
        <v>754</v>
      </c>
      <c r="F32" s="1019" t="s">
        <v>755</v>
      </c>
      <c r="G32" s="1709" t="s">
        <v>565</v>
      </c>
      <c r="H32" s="644">
        <f>SUM(H33:H34)</f>
        <v>0</v>
      </c>
      <c r="I32" s="644">
        <f>SUM(I33:I34)</f>
        <v>0</v>
      </c>
      <c r="J32" s="354" t="s">
        <v>756</v>
      </c>
      <c r="K32" s="608"/>
      <c r="L32" s="1701"/>
      <c r="M32" s="1701"/>
      <c r="R32" s="1701"/>
      <c r="U32" s="609"/>
      <c r="AA32" s="1697"/>
      <c r="AB32" s="1697"/>
      <c r="AC32" s="1697"/>
      <c r="AD32" s="1697"/>
      <c r="AE32" s="1697"/>
      <c r="AF32" s="1225">
        <v>34</v>
      </c>
    </row>
    <row s="5305" customFormat="1" customHeight="1" ht="1.05">
      <c r="A33" s="1232"/>
      <c r="D33" s="613"/>
      <c r="E33" s="867" t="str">
        <f>E32&amp;".0"</f>
        <v>2.8.0</v>
      </c>
      <c r="F33" s="1056"/>
      <c r="G33" s="616"/>
      <c r="H33" s="1057"/>
      <c r="I33" s="1057"/>
      <c r="J33" s="1058"/>
      <c r="AF33" s="1701">
        <v>1</v>
      </c>
    </row>
    <row s="5745" customFormat="1" customHeight="1" ht="19.95">
      <c r="A34" s="1052"/>
      <c r="C34" s="1701"/>
      <c r="D34" s="1698"/>
      <c r="E34" s="635"/>
      <c r="F34" s="1731" t="s">
        <v>590</v>
      </c>
      <c r="G34" s="637"/>
      <c r="H34" s="638"/>
      <c r="I34" s="638"/>
      <c r="J34" s="366" t="s">
        <v>757</v>
      </c>
      <c r="K34" s="608"/>
      <c r="L34" s="1701"/>
      <c r="M34" s="1701"/>
      <c r="R34" s="1701"/>
      <c r="U34" s="609"/>
      <c r="AA34" s="1697"/>
      <c r="AB34" s="1697"/>
      <c r="AC34" s="1697"/>
      <c r="AD34" s="1697"/>
      <c r="AE34" s="1697"/>
      <c r="AF34" s="1225">
        <v>19</v>
      </c>
    </row>
    <row customHeight="1" ht="60">
      <c r="D35" s="1703"/>
      <c r="E35" s="1740" t="s">
        <v>758</v>
      </c>
      <c r="F35" s="1019" t="s">
        <v>759</v>
      </c>
      <c r="G35" s="1719" t="s">
        <v>565</v>
      </c>
      <c r="H35" s="1741"/>
      <c r="I35" s="1741"/>
      <c r="J35" s="354" t="s">
        <v>760</v>
      </c>
      <c r="K35" s="608"/>
      <c r="AF35" s="1696">
        <v>57</v>
      </c>
    </row>
    <row s="5745" customFormat="1" customHeight="1" ht="24">
      <c r="A36" s="1054" t="s">
        <v>591</v>
      </c>
      <c r="C36" s="1701"/>
      <c r="D36" s="1703"/>
      <c r="E36" s="1729" t="s">
        <v>93</v>
      </c>
      <c r="F36" s="772" t="s">
        <v>761</v>
      </c>
      <c r="G36" s="1708" t="s">
        <v>565</v>
      </c>
      <c r="H36" s="622"/>
      <c r="I36" s="622"/>
      <c r="J36" s="354" t="s">
        <v>762</v>
      </c>
      <c r="K36" s="608"/>
      <c r="L36" s="1701"/>
      <c r="M36" s="1701"/>
      <c r="R36" s="1701"/>
      <c r="U36" s="609"/>
      <c r="AA36" s="1697"/>
      <c r="AB36" s="1697"/>
      <c r="AC36" s="1697"/>
      <c r="AD36" s="1697"/>
      <c r="AE36" s="1697"/>
      <c r="AF36" s="1225">
        <v>23</v>
      </c>
    </row>
    <row s="5745" customFormat="1" customHeight="1" ht="35.699999999999996">
      <c r="A37" s="1054"/>
      <c r="C37" s="1701"/>
      <c r="D37" s="1703"/>
      <c r="E37" s="1729" t="s">
        <v>333</v>
      </c>
      <c r="F37" s="1019" t="s">
        <v>763</v>
      </c>
      <c r="G37" s="1719"/>
      <c r="H37" s="622"/>
      <c r="I37" s="622"/>
      <c r="J37" s="354"/>
      <c r="K37" s="608"/>
      <c r="L37" s="1701"/>
      <c r="M37" s="1701"/>
      <c r="R37" s="1701"/>
      <c r="U37" s="609"/>
      <c r="AA37" s="1697"/>
      <c r="AB37" s="1697"/>
      <c r="AC37" s="1697"/>
      <c r="AD37" s="1697"/>
      <c r="AE37" s="1697"/>
      <c r="AF37" s="1225">
        <v>34</v>
      </c>
    </row>
    <row s="5745" customFormat="1" customHeight="1" ht="19.95">
      <c r="A38" s="1052"/>
      <c r="C38" s="1701"/>
      <c r="D38" s="640"/>
      <c r="E38" s="1729" t="s">
        <v>94</v>
      </c>
      <c r="F38" s="772" t="s">
        <v>764</v>
      </c>
      <c r="G38" s="1708" t="s">
        <v>565</v>
      </c>
      <c r="H38" s="622"/>
      <c r="I38" s="622"/>
      <c r="J38" s="354" t="s">
        <v>765</v>
      </c>
      <c r="K38" s="608"/>
      <c r="L38" s="1701"/>
      <c r="M38" s="1701"/>
      <c r="R38" s="1701"/>
      <c r="U38" s="609"/>
      <c r="AA38" s="1697"/>
      <c r="AB38" s="1697"/>
      <c r="AC38" s="1697"/>
      <c r="AD38" s="1697"/>
      <c r="AE38" s="1697"/>
      <c r="AF38" s="1225">
        <v>19</v>
      </c>
    </row>
    <row s="5745" customFormat="1" customHeight="1" ht="24">
      <c r="A39" s="1052"/>
      <c r="C39" s="1701"/>
      <c r="D39" s="640"/>
      <c r="E39" s="1729" t="s">
        <v>766</v>
      </c>
      <c r="F39" s="1019" t="s">
        <v>767</v>
      </c>
      <c r="G39" s="1719" t="s">
        <v>565</v>
      </c>
      <c r="H39" s="622"/>
      <c r="I39" s="622"/>
      <c r="J39" s="354" t="s">
        <v>768</v>
      </c>
      <c r="K39" s="608"/>
      <c r="L39" s="1701"/>
      <c r="M39" s="1701"/>
      <c r="R39" s="1701"/>
      <c r="U39" s="609"/>
      <c r="AA39" s="1697"/>
      <c r="AB39" s="1697"/>
      <c r="AC39" s="1697"/>
      <c r="AD39" s="1697"/>
      <c r="AE39" s="1697"/>
      <c r="AF39" s="1225">
        <v>23</v>
      </c>
    </row>
    <row s="5745" customFormat="1" customHeight="1" ht="24">
      <c r="A40" s="1052"/>
      <c r="C40" s="1701"/>
      <c r="D40" s="1703"/>
      <c r="E40" s="1729" t="s">
        <v>769</v>
      </c>
      <c r="F40" s="1715" t="s">
        <v>770</v>
      </c>
      <c r="G40" s="1708" t="s">
        <v>565</v>
      </c>
      <c r="H40" s="622"/>
      <c r="I40" s="622"/>
      <c r="J40" s="354" t="s">
        <v>771</v>
      </c>
      <c r="K40" s="608"/>
      <c r="L40" s="1701"/>
      <c r="M40" s="1701"/>
      <c r="R40" s="1701"/>
      <c r="U40" s="609"/>
      <c r="AA40" s="1697"/>
      <c r="AB40" s="1697"/>
      <c r="AC40" s="1697"/>
      <c r="AD40" s="1697"/>
      <c r="AE40" s="1697"/>
      <c r="AF40" s="1225">
        <v>23</v>
      </c>
    </row>
    <row s="5745" customFormat="1" customHeight="1" ht="24">
      <c r="A41" s="1052"/>
      <c r="C41" s="1701"/>
      <c r="D41" s="1703"/>
      <c r="E41" s="1729" t="s">
        <v>772</v>
      </c>
      <c r="F41" s="1715" t="s">
        <v>773</v>
      </c>
      <c r="G41" s="1708" t="s">
        <v>565</v>
      </c>
      <c r="H41" s="622"/>
      <c r="I41" s="622"/>
      <c r="J41" s="354" t="s">
        <v>774</v>
      </c>
      <c r="K41" s="608"/>
      <c r="L41" s="1701"/>
      <c r="M41" s="1701"/>
      <c r="R41" s="1701"/>
      <c r="U41" s="609"/>
      <c r="AA41" s="1697"/>
      <c r="AB41" s="1697"/>
      <c r="AC41" s="1697"/>
      <c r="AD41" s="1697"/>
      <c r="AE41" s="1697"/>
      <c r="AF41" s="1225">
        <v>23</v>
      </c>
    </row>
    <row s="5745" customFormat="1" customHeight="1" ht="24">
      <c r="A42" s="1052"/>
      <c r="C42" s="1701"/>
      <c r="D42" s="1703"/>
      <c r="E42" s="1729" t="s">
        <v>775</v>
      </c>
      <c r="F42" s="1715" t="s">
        <v>776</v>
      </c>
      <c r="G42" s="1708" t="s">
        <v>565</v>
      </c>
      <c r="H42" s="622"/>
      <c r="I42" s="622"/>
      <c r="J42" s="354" t="s">
        <v>777</v>
      </c>
      <c r="K42" s="608"/>
      <c r="L42" s="1701"/>
      <c r="M42" s="1701"/>
      <c r="R42" s="1701"/>
      <c r="U42" s="609"/>
      <c r="AA42" s="1697"/>
      <c r="AB42" s="1697"/>
      <c r="AC42" s="1697"/>
      <c r="AD42" s="1697"/>
      <c r="AE42" s="1697"/>
      <c r="AF42" s="1225">
        <v>23</v>
      </c>
    </row>
    <row s="5745" customFormat="1" customHeight="1" ht="35.699999999999996">
      <c r="A43" s="1052"/>
      <c r="C43" s="1701" t="s">
        <v>601</v>
      </c>
      <c r="D43" s="1703"/>
      <c r="E43" s="1729" t="s">
        <v>114</v>
      </c>
      <c r="F43" s="772" t="s">
        <v>642</v>
      </c>
      <c r="G43" s="1711" t="s">
        <v>778</v>
      </c>
      <c r="H43" s="466"/>
      <c r="I43" s="466"/>
      <c r="J43" s="354" t="s">
        <v>779</v>
      </c>
      <c r="K43" s="608"/>
      <c r="L43" s="1701"/>
      <c r="M43" s="1701"/>
      <c r="R43" s="1701"/>
      <c r="U43" s="609"/>
      <c r="AA43" s="1697"/>
      <c r="AB43" s="1697"/>
      <c r="AC43" s="1697"/>
      <c r="AD43" s="1697"/>
      <c r="AE43" s="1697"/>
      <c r="AF43" s="1225">
        <v>34</v>
      </c>
    </row>
    <row s="5745" customFormat="1" customHeight="1" ht="35.699999999999996">
      <c r="A44" s="1052"/>
      <c r="C44" s="1701"/>
      <c r="D44" s="1703"/>
      <c r="E44" s="1729" t="s">
        <v>95</v>
      </c>
      <c r="F44" s="772" t="s">
        <v>780</v>
      </c>
      <c r="G44" s="1708" t="s">
        <v>781</v>
      </c>
      <c r="H44" s="610"/>
      <c r="I44" s="610"/>
      <c r="J44" s="354" t="s">
        <v>782</v>
      </c>
      <c r="K44" s="608"/>
      <c r="L44" s="1701"/>
      <c r="M44" s="1701"/>
      <c r="R44" s="1701"/>
      <c r="U44" s="609"/>
      <c r="AA44" s="1697"/>
      <c r="AB44" s="1697"/>
      <c r="AC44" s="1697"/>
      <c r="AD44" s="1697"/>
      <c r="AE44" s="1697"/>
      <c r="AF44" s="1225">
        <v>34</v>
      </c>
    </row>
    <row s="5745" customFormat="1" customHeight="1" ht="24">
      <c r="A45" s="1052"/>
      <c r="C45" s="1701"/>
      <c r="D45" s="1703"/>
      <c r="E45" s="1729" t="s">
        <v>96</v>
      </c>
      <c r="F45" s="772" t="s">
        <v>783</v>
      </c>
      <c r="G45" s="1719" t="s">
        <v>784</v>
      </c>
      <c r="H45" s="610"/>
      <c r="I45" s="610"/>
      <c r="J45" s="354" t="s">
        <v>785</v>
      </c>
      <c r="K45" s="608"/>
      <c r="L45" s="1701"/>
      <c r="M45" s="1701"/>
      <c r="R45" s="1701"/>
      <c r="U45" s="609"/>
      <c r="AA45" s="1697"/>
      <c r="AB45" s="1697"/>
      <c r="AC45" s="1697"/>
      <c r="AD45" s="1697"/>
      <c r="AE45" s="1697"/>
      <c r="AF45" s="1225">
        <v>23</v>
      </c>
    </row>
    <row s="5745" customFormat="1" customHeight="1" ht="19.95">
      <c r="A46" s="1052"/>
      <c r="C46" s="1701"/>
      <c r="D46" s="1703"/>
      <c r="E46" s="1729" t="s">
        <v>115</v>
      </c>
      <c r="F46" s="772" t="s">
        <v>786</v>
      </c>
      <c r="G46" s="1708" t="s">
        <v>603</v>
      </c>
      <c r="H46" s="642"/>
      <c r="I46" s="642"/>
      <c r="J46" s="354"/>
      <c r="K46" s="608"/>
      <c r="L46" s="1701"/>
      <c r="M46" s="1701"/>
      <c r="R46" s="1701"/>
      <c r="U46" s="609"/>
      <c r="AA46" s="1697"/>
      <c r="AB46" s="1697"/>
      <c r="AC46" s="1697"/>
      <c r="AD46" s="1697"/>
      <c r="AE46" s="1697"/>
      <c r="AF46" s="1225">
        <v>19</v>
      </c>
    </row>
    <row customHeight="1" ht="11.549999999999999">
      <c r="D47" s="1703"/>
      <c r="AF47" s="1696">
        <v>11</v>
      </c>
    </row>
    <row s="4600"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4600"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4600"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4600"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4600"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4600"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4600"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4600"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4600"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4600"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4600"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4600"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4600"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4600"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4600"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4600"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4600"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4600"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4600"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4600"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4600"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4600"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4600"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4600"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4600"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4600"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4600"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4600"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4600"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4600"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4600"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4600"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4600"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4600"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4600"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4600"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4600"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4600"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4600"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4600"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4600"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4600"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4600"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4600"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4600"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4600"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4600"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4600"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4600"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4600"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4600"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4600"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4600"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4600"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4600"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4600"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4600"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4600"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4600"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4600"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4600"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4600"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4600"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4600"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4600"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4600"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4600"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4600"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4600"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4600"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4600"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4600"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4600"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4600"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4600"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4600"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4600"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4600"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4600"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4600"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4600"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4600"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4600"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4600"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4600"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4600"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600"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600"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600"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600"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600"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600"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600"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600"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600"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600"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600"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600"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600"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600"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600"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600"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600"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600"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600"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600"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600"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600"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600"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600"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600"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600"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600"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600"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600"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600"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600"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600"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600"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600"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600"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600"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600"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600"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600"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600"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600"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600"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600"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600"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600"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600"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600"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600"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600"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600"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600"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600"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600"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600"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600"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600"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600"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600"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600"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600"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600"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600"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4600"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4600"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4600"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4600"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4600"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4600"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4600"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52192-6FDA-497E-BE6D-0.47134F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5180" width="10.7109375" hidden="1" customWidth="1"/>
    <col min="2" max="2" style="5745" width="16.8515625" hidden="1" customWidth="1"/>
    <col min="3" max="3" style="5305" width="5.57421875" hidden="1" customWidth="1"/>
    <col min="4" max="4" style="5796" width="3.00390625" customWidth="1"/>
    <col min="5" max="5" style="5796" width="7.00390625" customWidth="1"/>
    <col min="6" max="6" style="5796" width="54.00390625" customWidth="1"/>
    <col min="7" max="7" style="5796" width="10.00390625" customWidth="1"/>
    <col min="8" max="8" style="5796" width="40.7109375" hidden="1" customWidth="1"/>
    <col min="9" max="9" style="5796" width="40.00390625" customWidth="1"/>
    <col min="10" max="10" style="5796" width="102.00390625" customWidth="1"/>
    <col min="11" max="11" style="5745" width="9.00390625" customWidth="1"/>
    <col min="12" max="12" style="5305" width="5.00390625" customWidth="1"/>
    <col min="13" max="13" style="5305" width="3.00390625" customWidth="1"/>
    <col min="14" max="17" style="5745" width="3.00390625" customWidth="1"/>
    <col min="18" max="18" style="5305" width="10.00390625" customWidth="1"/>
    <col min="19" max="19" style="5745" width="34.00390625" customWidth="1"/>
    <col min="20" max="20" style="5745" width="9.00390625" customWidth="1"/>
    <col min="21" max="21" style="5250" width="8.00390625" customWidth="1"/>
    <col min="22" max="26" style="5745" width="8.00390625" customWidth="1"/>
    <col min="27" max="31" style="6040" width="8.00390625" customWidth="1"/>
    <col min="32" max="32" style="5796" width="9.140625" hidden="1"/>
  </cols>
  <sheetData>
    <row s="5745" customFormat="1" customHeight="1" ht="22.5" hidden="1">
      <c r="A1" s="1052"/>
      <c r="C1" s="1701"/>
      <c r="D1" s="602"/>
      <c r="H1" s="1225">
        <v>4</v>
      </c>
      <c r="I1" s="1225">
        <v>4</v>
      </c>
      <c r="L1" s="1701"/>
      <c r="M1" s="1701"/>
      <c r="R1" s="1701"/>
      <c r="AF1" s="1225" t="s">
        <v>14</v>
      </c>
    </row>
    <row s="5745" customFormat="1" customHeight="1" ht="22.5" hidden="1">
      <c r="A2" s="1052"/>
      <c r="C2" s="1701"/>
      <c r="D2" s="603"/>
      <c r="E2" s="1723"/>
      <c r="F2" s="605"/>
      <c r="G2" s="1722" t="s">
        <v>565</v>
      </c>
      <c r="H2" s="606"/>
      <c r="I2" s="606"/>
      <c r="J2" s="607" t="s">
        <v>568</v>
      </c>
      <c r="K2" s="608"/>
      <c r="L2" s="1701"/>
      <c r="M2" s="1701"/>
      <c r="R2" s="1701"/>
      <c r="U2" s="609"/>
      <c r="AA2" s="1697"/>
      <c r="AB2" s="1697"/>
      <c r="AC2" s="1697"/>
      <c r="AD2" s="1697"/>
      <c r="AE2" s="1697"/>
      <c r="AF2" s="1225">
        <v>0</v>
      </c>
    </row>
    <row customHeight="1" ht="11.25" hidden="1">
      <c r="AF3" s="1696">
        <v>0</v>
      </c>
    </row>
    <row s="6040"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787</v>
      </c>
      <c r="F6" s="2313"/>
      <c r="G6" s="2313"/>
      <c r="H6" s="2313"/>
      <c r="I6" s="2313"/>
      <c r="J6" s="621"/>
      <c r="AF6" s="1696">
        <v>32</v>
      </c>
    </row>
    <row customHeight="1" ht="25.2">
      <c r="E7" s="2314" t="str">
        <f>IF(org=0,"Не определено",org)</f>
        <v>Нарьян-Марское МУ ПОКиТС</v>
      </c>
      <c r="F7" s="2314"/>
      <c r="G7" s="2314"/>
      <c r="H7" s="2314"/>
      <c r="I7" s="2314"/>
      <c r="AF7" s="1696">
        <v>24</v>
      </c>
    </row>
    <row customHeight="1" ht="11.549999999999999">
      <c r="E8" s="1200"/>
      <c r="F8" s="1200"/>
      <c r="G8" s="1200"/>
      <c r="H8" s="1200"/>
      <c r="I8" s="1200"/>
      <c r="AF8" s="1696">
        <v>11</v>
      </c>
    </row>
    <row s="5305"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577</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578</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309</v>
      </c>
      <c r="F13" s="2435"/>
      <c r="G13" s="2435"/>
      <c r="H13" s="1721"/>
      <c r="I13" s="1721"/>
      <c r="J13" s="2192"/>
      <c r="AF13" s="1696">
        <v>11</v>
      </c>
    </row>
    <row customHeight="1" ht="24">
      <c r="E14" s="1722" t="s">
        <v>91</v>
      </c>
      <c r="F14" s="1725" t="s">
        <v>311</v>
      </c>
      <c r="G14" s="1725" t="s">
        <v>579</v>
      </c>
      <c r="H14" s="1725" t="s">
        <v>312</v>
      </c>
      <c r="I14" s="1725" t="s">
        <v>312</v>
      </c>
      <c r="J14" s="2192"/>
      <c r="AF14" s="1696">
        <v>23</v>
      </c>
    </row>
    <row customHeight="1" ht="19.95">
      <c r="D15" s="1703"/>
      <c r="E15" s="1695" t="s">
        <v>112</v>
      </c>
      <c r="F15" s="772" t="s">
        <v>788</v>
      </c>
      <c r="G15" s="1722" t="s">
        <v>565</v>
      </c>
      <c r="H15" s="622"/>
      <c r="I15" s="622"/>
      <c r="J15" s="354" t="s">
        <v>789</v>
      </c>
      <c r="K15" s="608" t="s">
        <v>643</v>
      </c>
      <c r="AF15" s="1696">
        <v>19</v>
      </c>
    </row>
    <row customHeight="1" ht="24">
      <c r="D16" s="1703"/>
      <c r="E16" s="1695" t="s">
        <v>113</v>
      </c>
      <c r="F16" s="1730" t="s">
        <v>790</v>
      </c>
      <c r="G16" s="1722" t="s">
        <v>565</v>
      </c>
      <c r="H16" s="623">
        <f>SUM(H17,H20:H27)</f>
        <v>0</v>
      </c>
      <c r="I16" s="623">
        <f>SUM(I17,I20:I27)</f>
        <v>0</v>
      </c>
      <c r="J16" s="354" t="s">
        <v>791</v>
      </c>
      <c r="K16" s="608" t="s">
        <v>643</v>
      </c>
      <c r="AF16" s="1696">
        <v>23</v>
      </c>
    </row>
    <row customHeight="1" ht="35.699999999999996">
      <c r="D17" s="1703"/>
      <c r="E17" s="1729" t="s">
        <v>721</v>
      </c>
      <c r="F17" s="1732" t="s">
        <v>792</v>
      </c>
      <c r="G17" s="1719" t="s">
        <v>565</v>
      </c>
      <c r="H17" s="622"/>
      <c r="I17" s="622"/>
      <c r="J17" s="354" t="s">
        <v>793</v>
      </c>
      <c r="K17" s="608"/>
      <c r="AF17" s="1696">
        <v>34</v>
      </c>
    </row>
    <row customHeight="1" ht="19.95">
      <c r="D18" s="1703"/>
      <c r="E18" s="1729" t="s">
        <v>724</v>
      </c>
      <c r="F18" s="1733" t="s">
        <v>794</v>
      </c>
      <c r="G18" s="1719" t="s">
        <v>565</v>
      </c>
      <c r="H18" s="622"/>
      <c r="I18" s="622"/>
      <c r="J18" s="354"/>
      <c r="K18" s="608"/>
      <c r="AF18" s="1696">
        <v>19</v>
      </c>
    </row>
    <row customHeight="1" ht="24">
      <c r="D19" s="1703"/>
      <c r="E19" s="1729" t="s">
        <v>727</v>
      </c>
      <c r="F19" s="1733" t="s">
        <v>795</v>
      </c>
      <c r="G19" s="1719" t="s">
        <v>565</v>
      </c>
      <c r="H19" s="622"/>
      <c r="I19" s="622"/>
      <c r="J19" s="354"/>
      <c r="K19" s="608"/>
      <c r="AF19" s="1696">
        <v>23</v>
      </c>
    </row>
    <row customHeight="1" ht="35.699999999999996">
      <c r="D20" s="1703"/>
      <c r="E20" s="1729" t="s">
        <v>316</v>
      </c>
      <c r="F20" s="1732" t="s">
        <v>796</v>
      </c>
      <c r="G20" s="1719" t="s">
        <v>565</v>
      </c>
      <c r="H20" s="622"/>
      <c r="I20" s="622"/>
      <c r="J20" s="354"/>
      <c r="K20" s="608"/>
      <c r="AF20" s="1696">
        <v>34</v>
      </c>
    </row>
    <row customHeight="1" ht="48.29999999999999">
      <c r="D21" s="1703"/>
      <c r="E21" s="1729" t="s">
        <v>319</v>
      </c>
      <c r="F21" s="1732" t="s">
        <v>797</v>
      </c>
      <c r="G21" s="1719" t="s">
        <v>565</v>
      </c>
      <c r="H21" s="622"/>
      <c r="I21" s="622"/>
      <c r="J21" s="354"/>
      <c r="K21" s="608"/>
      <c r="AF21" s="1696">
        <v>46</v>
      </c>
    </row>
    <row customHeight="1" ht="60">
      <c r="D22" s="1703"/>
      <c r="E22" s="1729" t="s">
        <v>741</v>
      </c>
      <c r="F22" s="1732" t="s">
        <v>798</v>
      </c>
      <c r="G22" s="1719" t="s">
        <v>565</v>
      </c>
      <c r="H22" s="622"/>
      <c r="I22" s="622"/>
      <c r="J22" s="354"/>
      <c r="K22" s="608"/>
      <c r="AF22" s="1696">
        <v>57</v>
      </c>
    </row>
    <row customHeight="1" ht="35.699999999999996">
      <c r="D23" s="1703"/>
      <c r="E23" s="1729" t="s">
        <v>748</v>
      </c>
      <c r="F23" s="1732" t="s">
        <v>799</v>
      </c>
      <c r="G23" s="1719" t="s">
        <v>565</v>
      </c>
      <c r="H23" s="622"/>
      <c r="I23" s="622"/>
      <c r="J23" s="354"/>
      <c r="K23" s="608"/>
      <c r="AF23" s="1696">
        <v>34</v>
      </c>
    </row>
    <row customHeight="1" ht="35.699999999999996">
      <c r="D24" s="1703"/>
      <c r="E24" s="1729" t="s">
        <v>750</v>
      </c>
      <c r="F24" s="1732" t="s">
        <v>800</v>
      </c>
      <c r="G24" s="1719" t="s">
        <v>565</v>
      </c>
      <c r="H24" s="622"/>
      <c r="I24" s="622"/>
      <c r="J24" s="354"/>
      <c r="K24" s="608"/>
      <c r="AF24" s="1696">
        <v>34</v>
      </c>
    </row>
    <row customHeight="1" ht="24">
      <c r="D25" s="1703"/>
      <c r="E25" s="1729" t="s">
        <v>752</v>
      </c>
      <c r="F25" s="1732" t="s">
        <v>801</v>
      </c>
      <c r="G25" s="1719" t="s">
        <v>565</v>
      </c>
      <c r="H25" s="622"/>
      <c r="I25" s="622"/>
      <c r="J25" s="354"/>
      <c r="K25" s="608"/>
      <c r="AF25" s="1696">
        <v>23</v>
      </c>
    </row>
    <row customHeight="1" ht="76.5">
      <c r="D26" s="1703"/>
      <c r="E26" s="1729" t="s">
        <v>754</v>
      </c>
      <c r="F26" s="1732" t="s">
        <v>802</v>
      </c>
      <c r="G26" s="1719" t="s">
        <v>565</v>
      </c>
      <c r="H26" s="622"/>
      <c r="I26" s="622"/>
      <c r="J26" s="354"/>
      <c r="K26" s="608"/>
      <c r="AF26" s="1696">
        <v>73</v>
      </c>
    </row>
    <row s="5745" customFormat="1" customHeight="1" ht="35.699999999999996">
      <c r="A27" s="1052"/>
      <c r="C27" s="1701"/>
      <c r="D27" s="1703"/>
      <c r="E27" s="1694" t="s">
        <v>758</v>
      </c>
      <c r="F27" s="1693" t="s">
        <v>803</v>
      </c>
      <c r="G27" s="1720" t="s">
        <v>565</v>
      </c>
      <c r="H27" s="644">
        <f>SUM(H28:H29)</f>
        <v>0</v>
      </c>
      <c r="I27" s="644">
        <f>SUM(I28:I29)</f>
        <v>0</v>
      </c>
      <c r="J27" s="354" t="s">
        <v>756</v>
      </c>
      <c r="K27" s="608"/>
      <c r="L27" s="1701"/>
      <c r="M27" s="1701"/>
      <c r="R27" s="1701"/>
      <c r="U27" s="609"/>
      <c r="AA27" s="1697"/>
      <c r="AB27" s="1697"/>
      <c r="AC27" s="1697"/>
      <c r="AD27" s="1697"/>
      <c r="AE27" s="1697"/>
      <c r="AF27" s="1225">
        <v>34</v>
      </c>
    </row>
    <row s="5305" customFormat="1" customHeight="1" ht="1.05">
      <c r="A28" s="1232"/>
      <c r="D28" s="613"/>
      <c r="E28" s="867" t="str">
        <f>E27&amp;".0"</f>
        <v>2.9.0</v>
      </c>
      <c r="F28" s="1056"/>
      <c r="G28" s="616"/>
      <c r="H28" s="1057"/>
      <c r="I28" s="1057"/>
      <c r="J28" s="1058"/>
      <c r="AF28" s="1701">
        <v>1</v>
      </c>
    </row>
    <row s="5745" customFormat="1" customHeight="1" ht="19.95">
      <c r="A29" s="1052"/>
      <c r="C29" s="1701"/>
      <c r="D29" s="1698"/>
      <c r="E29" s="635"/>
      <c r="F29" s="1731" t="s">
        <v>590</v>
      </c>
      <c r="G29" s="637"/>
      <c r="H29" s="638"/>
      <c r="I29" s="638"/>
      <c r="J29" s="366" t="s">
        <v>757</v>
      </c>
      <c r="K29" s="608"/>
      <c r="L29" s="1701"/>
      <c r="M29" s="1701"/>
      <c r="R29" s="1701"/>
      <c r="U29" s="609"/>
      <c r="AA29" s="1697"/>
      <c r="AB29" s="1697"/>
      <c r="AC29" s="1697"/>
      <c r="AD29" s="1697"/>
      <c r="AE29" s="1697"/>
      <c r="AF29" s="1225">
        <v>19</v>
      </c>
    </row>
    <row s="5745" customFormat="1" customHeight="1" ht="24">
      <c r="A30" s="1052"/>
      <c r="C30" s="1701"/>
      <c r="D30" s="1703"/>
      <c r="E30" s="1729" t="s">
        <v>93</v>
      </c>
      <c r="F30" s="1726" t="s">
        <v>804</v>
      </c>
      <c r="G30" s="1719" t="s">
        <v>565</v>
      </c>
      <c r="H30" s="622"/>
      <c r="I30" s="622"/>
      <c r="J30" s="354"/>
      <c r="K30" s="608"/>
      <c r="L30" s="1701"/>
      <c r="M30" s="1701"/>
      <c r="R30" s="1701"/>
      <c r="U30" s="609"/>
      <c r="AA30" s="1697"/>
      <c r="AB30" s="1697"/>
      <c r="AC30" s="1697"/>
      <c r="AD30" s="1697"/>
      <c r="AE30" s="1697"/>
      <c r="AF30" s="1225">
        <v>23</v>
      </c>
    </row>
    <row s="5745" customFormat="1" customHeight="1" ht="35.699999999999996">
      <c r="A31" s="1052"/>
      <c r="C31" s="1701"/>
      <c r="D31" s="640"/>
      <c r="E31" s="1729" t="s">
        <v>94</v>
      </c>
      <c r="F31" s="1726" t="s">
        <v>805</v>
      </c>
      <c r="G31" s="1719" t="s">
        <v>565</v>
      </c>
      <c r="H31" s="622"/>
      <c r="I31" s="622"/>
      <c r="J31" s="354" t="s">
        <v>806</v>
      </c>
      <c r="K31" s="608"/>
      <c r="L31" s="1701"/>
      <c r="M31" s="1701"/>
      <c r="R31" s="1701"/>
      <c r="U31" s="609"/>
      <c r="AA31" s="1697"/>
      <c r="AB31" s="1697"/>
      <c r="AC31" s="1697"/>
      <c r="AD31" s="1697"/>
      <c r="AE31" s="1697"/>
      <c r="AF31" s="1225">
        <v>34</v>
      </c>
    </row>
    <row s="5745" customFormat="1" customHeight="1" ht="24">
      <c r="A32" s="1052"/>
      <c r="C32" s="1701"/>
      <c r="D32" s="1703"/>
      <c r="E32" s="1729" t="s">
        <v>766</v>
      </c>
      <c r="F32" s="755" t="s">
        <v>770</v>
      </c>
      <c r="G32" s="1719" t="s">
        <v>565</v>
      </c>
      <c r="H32" s="622"/>
      <c r="I32" s="622"/>
      <c r="J32" s="354" t="s">
        <v>807</v>
      </c>
      <c r="K32" s="608"/>
      <c r="L32" s="1701"/>
      <c r="M32" s="1701"/>
      <c r="R32" s="1701"/>
      <c r="U32" s="609"/>
      <c r="AA32" s="1697"/>
      <c r="AB32" s="1697"/>
      <c r="AC32" s="1697"/>
      <c r="AD32" s="1697"/>
      <c r="AE32" s="1697"/>
      <c r="AF32" s="1225">
        <v>23</v>
      </c>
    </row>
    <row s="5745" customFormat="1" customHeight="1" ht="24">
      <c r="A33" s="1052"/>
      <c r="C33" s="1701"/>
      <c r="D33" s="1703"/>
      <c r="E33" s="1729" t="s">
        <v>808</v>
      </c>
      <c r="F33" s="755" t="s">
        <v>809</v>
      </c>
      <c r="G33" s="1719" t="s">
        <v>565</v>
      </c>
      <c r="H33" s="622"/>
      <c r="I33" s="622"/>
      <c r="J33" s="354" t="s">
        <v>810</v>
      </c>
      <c r="K33" s="608"/>
      <c r="L33" s="1701"/>
      <c r="M33" s="1701"/>
      <c r="R33" s="1701"/>
      <c r="U33" s="609"/>
      <c r="AA33" s="1697"/>
      <c r="AB33" s="1697"/>
      <c r="AC33" s="1697"/>
      <c r="AD33" s="1697"/>
      <c r="AE33" s="1697"/>
      <c r="AF33" s="1225">
        <v>23</v>
      </c>
    </row>
    <row s="5745" customFormat="1" customHeight="1" ht="24">
      <c r="A34" s="1052"/>
      <c r="C34" s="1701"/>
      <c r="D34" s="1703"/>
      <c r="E34" s="1729" t="s">
        <v>811</v>
      </c>
      <c r="F34" s="755" t="s">
        <v>776</v>
      </c>
      <c r="G34" s="1719" t="s">
        <v>565</v>
      </c>
      <c r="H34" s="622"/>
      <c r="I34" s="622"/>
      <c r="J34" s="354" t="s">
        <v>812</v>
      </c>
      <c r="K34" s="608"/>
      <c r="L34" s="1701"/>
      <c r="M34" s="1701"/>
      <c r="R34" s="1701"/>
      <c r="U34" s="609"/>
      <c r="AA34" s="1697"/>
      <c r="AB34" s="1697"/>
      <c r="AC34" s="1697"/>
      <c r="AD34" s="1697"/>
      <c r="AE34" s="1697"/>
      <c r="AF34" s="1225">
        <v>23</v>
      </c>
    </row>
    <row s="5745" customFormat="1" customHeight="1" ht="35.699999999999996">
      <c r="A35" s="1052"/>
      <c r="C35" s="1701" t="s">
        <v>601</v>
      </c>
      <c r="D35" s="1703"/>
      <c r="E35" s="1729" t="s">
        <v>114</v>
      </c>
      <c r="F35" s="1726" t="s">
        <v>642</v>
      </c>
      <c r="G35" s="1722" t="s">
        <v>315</v>
      </c>
      <c r="H35" s="466"/>
      <c r="I35" s="466"/>
      <c r="J35" s="354" t="s">
        <v>813</v>
      </c>
      <c r="K35" s="608"/>
      <c r="L35" s="1701"/>
      <c r="M35" s="1701"/>
      <c r="R35" s="1701"/>
      <c r="U35" s="609"/>
      <c r="AA35" s="1697"/>
      <c r="AB35" s="1697"/>
      <c r="AC35" s="1697"/>
      <c r="AD35" s="1697"/>
      <c r="AE35" s="1697"/>
      <c r="AF35" s="1225">
        <v>34</v>
      </c>
    </row>
    <row s="5745" customFormat="1" customHeight="1" ht="35.699999999999996">
      <c r="A36" s="1052"/>
      <c r="C36" s="1701"/>
      <c r="D36" s="1703"/>
      <c r="E36" s="1729" t="s">
        <v>95</v>
      </c>
      <c r="F36" s="1726" t="s">
        <v>814</v>
      </c>
      <c r="G36" s="1719" t="s">
        <v>781</v>
      </c>
      <c r="H36" s="610"/>
      <c r="I36" s="610"/>
      <c r="J36" s="354" t="s">
        <v>782</v>
      </c>
      <c r="K36" s="608"/>
      <c r="L36" s="1701"/>
      <c r="M36" s="1701"/>
      <c r="R36" s="1701"/>
      <c r="U36" s="609"/>
      <c r="AA36" s="1697"/>
      <c r="AB36" s="1697"/>
      <c r="AC36" s="1697"/>
      <c r="AD36" s="1697"/>
      <c r="AE36" s="1697"/>
      <c r="AF36" s="1225">
        <v>34</v>
      </c>
    </row>
    <row s="5745" customFormat="1" customHeight="1" ht="24">
      <c r="A37" s="1052"/>
      <c r="C37" s="1701"/>
      <c r="D37" s="1703"/>
      <c r="E37" s="1729" t="s">
        <v>96</v>
      </c>
      <c r="F37" s="1726" t="s">
        <v>815</v>
      </c>
      <c r="G37" s="1719" t="s">
        <v>784</v>
      </c>
      <c r="H37" s="610"/>
      <c r="I37" s="610"/>
      <c r="J37" s="354" t="s">
        <v>785</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816</v>
      </c>
      <c r="F39" s="2350" t="s">
        <v>817</v>
      </c>
      <c r="G39" s="2350"/>
      <c r="H39" s="434"/>
      <c r="I39" s="434"/>
      <c r="J39" s="434"/>
      <c r="AF39" s="1696">
        <v>26</v>
      </c>
    </row>
    <row s="4600" customFormat="1" customHeight="1" ht="39.75">
      <c r="A40" s="1052"/>
      <c r="B40" s="1701"/>
      <c r="C40" s="1701"/>
      <c r="D40" s="416"/>
      <c r="F40" s="2350" t="s">
        <v>818</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4600"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4600"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4600"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4600"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4600"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4600"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4600"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4600"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4600"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4600"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4600"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4600"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4600"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4600"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4600"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4600"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4600"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4600"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4600"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4600"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4600"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4600"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4600"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4600"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4600"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4600"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4600"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4600"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4600"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4600"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4600"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4600"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4600"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4600"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4600"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4600"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4600"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4600"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4600"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4600"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4600"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4600"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4600"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4600"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4600"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4600"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4600"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4600"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4600"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4600"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4600"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4600"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4600"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4600"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4600"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4600"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4600"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4600"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4600"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4600"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4600"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4600"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4600"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4600"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4600"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4600"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4600"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4600"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4600"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4600"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4600"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4600"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4600"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4600"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4600"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4600"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4600"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4600"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4600"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4600"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4600"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4600"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4600"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4600"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4600"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4600"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4600"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4600"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4600"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4600"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4600"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4600"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4600"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600"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600"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600"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600"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600"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600"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600"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600"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600"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600"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600"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600"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600"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600"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600"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600"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600"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600"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600"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600"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600"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600"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600"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600"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600"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600"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600"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600"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600"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600"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600"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600"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600"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600"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600"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600"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600"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600"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600"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600"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600"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600"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600"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600"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600"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600"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600"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600"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600"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600"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600"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600"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600"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600"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600"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600"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600"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600"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600"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600"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600"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600"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8C614-ACE2-EA95-0451-0.EDB212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5540" width="9.140625" hidden="1" customWidth="1"/>
    <col min="2" max="2" style="5305" width="3.57421875" hidden="1" customWidth="1"/>
    <col min="3" max="3" style="5796" width="3.00390625" customWidth="1"/>
    <col min="4" max="4" style="5796" width="7.00390625" customWidth="1"/>
    <col min="5" max="5" style="5796" width="69.00390625" customWidth="1"/>
    <col min="6" max="6" style="5796" width="10.00390625" customWidth="1"/>
    <col min="7" max="8" style="5796" width="44.00390625" hidden="1" customWidth="1"/>
    <col min="9" max="9" style="5796" width="44.00390625" customWidth="1"/>
    <col min="10" max="10" style="5796" width="43.00390625" customWidth="1"/>
    <col min="11" max="11" style="5796" width="73.00390625" customWidth="1"/>
    <col min="12" max="12" style="5796" width="3.00390625" customWidth="1"/>
    <col min="13" max="23" style="5796" width="10.00390625" customWidth="1"/>
    <col min="24" max="24" style="5796" width="10.57421875" hidden="1"/>
  </cols>
  <sheetData>
    <row s="5745"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5796" customFormat="1" customHeight="1" ht="21">
      <c r="A4" s="1016"/>
      <c r="B4" s="576"/>
      <c r="D4" s="2279" t="str">
        <f>IF(org=0,"Не определено",org)</f>
        <v>Нарьян-Марское МУ ПОКиТС</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577</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578</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5796" customFormat="1" customHeight="1" ht="11.549999999999999">
      <c r="A10" s="1086"/>
      <c r="B10" s="576"/>
      <c r="D10" s="2166" t="s">
        <v>309</v>
      </c>
      <c r="E10" s="2167"/>
      <c r="F10" s="2167"/>
      <c r="G10" s="2167"/>
      <c r="H10" s="2167"/>
      <c r="I10" s="2167"/>
      <c r="J10" s="2168"/>
      <c r="K10" s="2264"/>
      <c r="L10" s="574"/>
      <c r="X10" s="823">
        <v>11</v>
      </c>
    </row>
    <row s="5796" customFormat="1" customHeight="1" ht="24">
      <c r="A11" s="2450"/>
      <c r="B11" s="2450"/>
      <c r="C11" s="722"/>
      <c r="D11" s="768" t="s">
        <v>91</v>
      </c>
      <c r="E11" s="770" t="s">
        <v>819</v>
      </c>
      <c r="F11" s="770" t="s">
        <v>579</v>
      </c>
      <c r="G11" s="530" t="s">
        <v>312</v>
      </c>
      <c r="H11" s="530" t="s">
        <v>399</v>
      </c>
      <c r="I11" s="872" t="s">
        <v>312</v>
      </c>
      <c r="J11" s="873" t="s">
        <v>399</v>
      </c>
      <c r="K11" s="2297"/>
      <c r="L11" s="723"/>
      <c r="X11" s="574">
        <v>23</v>
      </c>
    </row>
    <row s="5305" customFormat="1" customHeight="1" ht="10.5">
      <c r="A12" s="1017"/>
      <c r="D12" s="1090" t="s">
        <v>112</v>
      </c>
      <c r="E12" s="1090" t="s">
        <v>113</v>
      </c>
      <c r="F12" s="1090" t="s">
        <v>93</v>
      </c>
      <c r="G12" s="1091" t="str">
        <f>G1&amp;".1"</f>
        <v>4.1</v>
      </c>
      <c r="H12" s="1091" t="str">
        <f>G1&amp;".2"</f>
        <v>4.2</v>
      </c>
      <c r="I12" s="1091" t="str">
        <f>I1&amp;".1"</f>
        <v>4.1</v>
      </c>
      <c r="J12" s="1091" t="str">
        <f>I1&amp;".2"</f>
        <v>4.2</v>
      </c>
      <c r="K12" s="1091"/>
      <c r="X12" s="576">
        <v>10</v>
      </c>
    </row>
    <row customHeight="1" ht="22.5">
      <c r="A13" s="2457" t="s">
        <v>820</v>
      </c>
      <c r="D13" s="1018" t="s">
        <v>112</v>
      </c>
      <c r="E13" s="344" t="s">
        <v>821</v>
      </c>
      <c r="F13" s="725" t="s">
        <v>822</v>
      </c>
      <c r="G13" s="622"/>
      <c r="H13" s="726"/>
      <c r="I13" s="622"/>
      <c r="J13" s="726"/>
      <c r="K13" s="354" t="s">
        <v>823</v>
      </c>
      <c r="L13" s="785"/>
      <c r="X13" s="570">
        <v>0</v>
      </c>
    </row>
    <row customHeight="1" ht="22.5">
      <c r="A14" s="2457"/>
      <c r="D14" s="604" t="s">
        <v>113</v>
      </c>
      <c r="E14" s="344" t="s">
        <v>824</v>
      </c>
      <c r="F14" s="725" t="s">
        <v>825</v>
      </c>
      <c r="G14" s="622"/>
      <c r="H14" s="727"/>
      <c r="I14" s="622"/>
      <c r="J14" s="727"/>
      <c r="K14" s="354" t="s">
        <v>826</v>
      </c>
      <c r="L14" s="785"/>
      <c r="X14" s="570">
        <v>0</v>
      </c>
    </row>
    <row s="5796" customFormat="1" customHeight="1" ht="78.75">
      <c r="A15" s="2457"/>
      <c r="B15" s="576"/>
      <c r="D15" s="1018" t="s">
        <v>93</v>
      </c>
      <c r="E15" s="772" t="s">
        <v>827</v>
      </c>
      <c r="F15" s="1015" t="s">
        <v>315</v>
      </c>
      <c r="G15" s="1015" t="s">
        <v>315</v>
      </c>
      <c r="H15" s="171"/>
      <c r="I15" s="1015" t="s">
        <v>315</v>
      </c>
      <c r="J15" s="171"/>
      <c r="K15" s="354" t="s">
        <v>828</v>
      </c>
      <c r="L15" s="785"/>
      <c r="X15" s="823">
        <v>0</v>
      </c>
    </row>
    <row s="5796" customFormat="1" customHeight="1" ht="22.5">
      <c r="A16" s="2457"/>
      <c r="B16" s="576"/>
      <c r="D16" s="1018" t="s">
        <v>333</v>
      </c>
      <c r="E16" s="1019" t="s">
        <v>829</v>
      </c>
      <c r="F16" s="1015" t="s">
        <v>830</v>
      </c>
      <c r="G16" s="882"/>
      <c r="H16" s="171"/>
      <c r="I16" s="882"/>
      <c r="J16" s="171"/>
      <c r="K16" s="354"/>
      <c r="L16" s="785"/>
      <c r="X16" s="823">
        <v>0</v>
      </c>
    </row>
    <row s="5796" customFormat="1" customHeight="1" ht="22.5">
      <c r="A17" s="2457"/>
      <c r="B17" s="576"/>
      <c r="D17" s="1018" t="s">
        <v>341</v>
      </c>
      <c r="E17" s="1019" t="s">
        <v>831</v>
      </c>
      <c r="F17" s="1015" t="s">
        <v>832</v>
      </c>
      <c r="G17" s="882"/>
      <c r="H17" s="171"/>
      <c r="I17" s="882"/>
      <c r="J17" s="171"/>
      <c r="K17" s="354"/>
      <c r="L17" s="785"/>
      <c r="X17" s="823">
        <v>0</v>
      </c>
    </row>
    <row s="5796" customFormat="1" customHeight="1" ht="33.75">
      <c r="A18" s="2457"/>
      <c r="B18" s="576"/>
      <c r="D18" s="1018" t="s">
        <v>343</v>
      </c>
      <c r="E18" s="1019" t="s">
        <v>833</v>
      </c>
      <c r="F18" s="1015" t="s">
        <v>584</v>
      </c>
      <c r="G18" s="745"/>
      <c r="H18" s="171"/>
      <c r="I18" s="745"/>
      <c r="J18" s="171"/>
      <c r="K18" s="354"/>
      <c r="L18" s="785"/>
      <c r="X18" s="823">
        <v>0</v>
      </c>
    </row>
    <row customHeight="1" ht="101.25">
      <c r="A19" s="2457"/>
      <c r="D19" s="1018" t="s">
        <v>94</v>
      </c>
      <c r="E19" s="344" t="s">
        <v>834</v>
      </c>
      <c r="F19" s="725" t="s">
        <v>559</v>
      </c>
      <c r="G19" s="728"/>
      <c r="H19" s="727"/>
      <c r="I19" s="1020"/>
      <c r="J19" s="727"/>
      <c r="K19" s="354" t="s">
        <v>835</v>
      </c>
      <c r="L19" s="785"/>
      <c r="X19" s="570">
        <v>0</v>
      </c>
    </row>
    <row s="5796" customFormat="1" customHeight="1" ht="18.75">
      <c r="A20" s="2457"/>
      <c r="C20" s="1021"/>
      <c r="D20" s="1018" t="s">
        <v>766</v>
      </c>
      <c r="E20" s="1019" t="s">
        <v>836</v>
      </c>
      <c r="F20" s="1015" t="s">
        <v>315</v>
      </c>
      <c r="G20" s="1015" t="s">
        <v>315</v>
      </c>
      <c r="H20" s="1014" t="s">
        <v>315</v>
      </c>
      <c r="I20" s="1015" t="s">
        <v>315</v>
      </c>
      <c r="J20" s="1014" t="s">
        <v>315</v>
      </c>
      <c r="K20" s="1013"/>
      <c r="L20" s="785"/>
      <c r="W20" s="740"/>
      <c r="X20" s="823">
        <v>0</v>
      </c>
    </row>
    <row s="5796" customFormat="1" customHeight="1" ht="33.75">
      <c r="A21" s="2457"/>
      <c r="C21" s="1021"/>
      <c r="D21" s="1018" t="s">
        <v>769</v>
      </c>
      <c r="E21" s="641" t="s">
        <v>837</v>
      </c>
      <c r="F21" s="1015" t="s">
        <v>838</v>
      </c>
      <c r="G21" s="745"/>
      <c r="H21" s="171"/>
      <c r="I21" s="745"/>
      <c r="J21" s="171"/>
      <c r="K21" s="1013"/>
      <c r="L21" s="785"/>
      <c r="W21" s="740"/>
      <c r="X21" s="823">
        <v>0</v>
      </c>
    </row>
    <row s="5796" customFormat="1" customHeight="1" ht="33.75">
      <c r="A22" s="2457"/>
      <c r="C22" s="1021"/>
      <c r="D22" s="1018" t="s">
        <v>772</v>
      </c>
      <c r="E22" s="641" t="s">
        <v>839</v>
      </c>
      <c r="F22" s="1015" t="s">
        <v>840</v>
      </c>
      <c r="G22" s="745"/>
      <c r="H22" s="171"/>
      <c r="I22" s="745"/>
      <c r="J22" s="171"/>
      <c r="K22" s="1013"/>
      <c r="L22" s="785"/>
      <c r="W22" s="740"/>
      <c r="X22" s="823">
        <v>0</v>
      </c>
    </row>
    <row s="5796" customFormat="1" customHeight="1" ht="22.5">
      <c r="A23" s="2457"/>
      <c r="C23" s="1021"/>
      <c r="D23" s="1018" t="s">
        <v>808</v>
      </c>
      <c r="E23" s="1019" t="s">
        <v>841</v>
      </c>
      <c r="F23" s="1015" t="s">
        <v>315</v>
      </c>
      <c r="G23" s="1015" t="s">
        <v>315</v>
      </c>
      <c r="H23" s="1014" t="s">
        <v>315</v>
      </c>
      <c r="I23" s="1015" t="s">
        <v>315</v>
      </c>
      <c r="J23" s="1014" t="s">
        <v>315</v>
      </c>
      <c r="K23" s="1013"/>
      <c r="L23" s="785"/>
      <c r="W23" s="740"/>
      <c r="X23" s="823">
        <v>0</v>
      </c>
    </row>
    <row s="5796" customFormat="1" customHeight="1" ht="22.5">
      <c r="A24" s="2457"/>
      <c r="C24" s="1021"/>
      <c r="D24" s="1018" t="s">
        <v>842</v>
      </c>
      <c r="E24" s="641" t="s">
        <v>843</v>
      </c>
      <c r="F24" s="1015" t="s">
        <v>844</v>
      </c>
      <c r="G24" s="745"/>
      <c r="H24" s="751"/>
      <c r="I24" s="745"/>
      <c r="J24" s="751"/>
      <c r="K24" s="1013"/>
      <c r="L24" s="785"/>
      <c r="W24" s="740"/>
      <c r="X24" s="823">
        <v>0</v>
      </c>
    </row>
    <row s="5796" customFormat="1" customHeight="1" ht="22.5">
      <c r="A25" s="2457"/>
      <c r="C25" s="1021"/>
      <c r="D25" s="1018" t="s">
        <v>845</v>
      </c>
      <c r="E25" s="641" t="s">
        <v>846</v>
      </c>
      <c r="F25" s="1015" t="s">
        <v>315</v>
      </c>
      <c r="G25" s="1015" t="s">
        <v>315</v>
      </c>
      <c r="H25" s="1014" t="s">
        <v>315</v>
      </c>
      <c r="I25" s="1015" t="s">
        <v>315</v>
      </c>
      <c r="J25" s="1014" t="s">
        <v>315</v>
      </c>
      <c r="K25" s="1013"/>
      <c r="L25" s="785"/>
      <c r="W25" s="740"/>
      <c r="X25" s="823">
        <v>0</v>
      </c>
    </row>
    <row s="5796" customFormat="1" customHeight="1" ht="18.75">
      <c r="A26" s="2457"/>
      <c r="C26" s="1021"/>
      <c r="D26" s="1018" t="s">
        <v>847</v>
      </c>
      <c r="E26" s="618" t="s">
        <v>848</v>
      </c>
      <c r="F26" s="1015" t="s">
        <v>849</v>
      </c>
      <c r="G26" s="745"/>
      <c r="H26" s="751"/>
      <c r="I26" s="745"/>
      <c r="J26" s="751"/>
      <c r="K26" s="1013"/>
      <c r="L26" s="785"/>
      <c r="W26" s="740"/>
      <c r="X26" s="823">
        <v>0</v>
      </c>
    </row>
    <row s="5796" customFormat="1" customHeight="1" ht="18.75">
      <c r="A27" s="2457"/>
      <c r="C27" s="1021"/>
      <c r="D27" s="1018" t="s">
        <v>850</v>
      </c>
      <c r="E27" s="618" t="s">
        <v>851</v>
      </c>
      <c r="F27" s="1015" t="s">
        <v>852</v>
      </c>
      <c r="G27" s="745"/>
      <c r="H27" s="751"/>
      <c r="I27" s="745"/>
      <c r="J27" s="751"/>
      <c r="K27" s="1013"/>
      <c r="L27" s="785"/>
      <c r="W27" s="740"/>
      <c r="X27" s="823">
        <v>0</v>
      </c>
    </row>
    <row s="5796" customFormat="1" customHeight="1" ht="18.75">
      <c r="A28" s="2457"/>
      <c r="C28" s="1021"/>
      <c r="D28" s="1018" t="s">
        <v>853</v>
      </c>
      <c r="E28" s="641" t="s">
        <v>854</v>
      </c>
      <c r="F28" s="1015" t="s">
        <v>315</v>
      </c>
      <c r="G28" s="1015" t="s">
        <v>315</v>
      </c>
      <c r="H28" s="1014" t="s">
        <v>315</v>
      </c>
      <c r="I28" s="1015" t="s">
        <v>315</v>
      </c>
      <c r="J28" s="1014" t="s">
        <v>315</v>
      </c>
      <c r="K28" s="1013"/>
      <c r="L28" s="785"/>
      <c r="W28" s="740"/>
      <c r="X28" s="823">
        <v>0</v>
      </c>
    </row>
    <row s="5796" customFormat="1" customHeight="1" ht="18.75">
      <c r="A29" s="2457"/>
      <c r="C29" s="1021"/>
      <c r="D29" s="1018" t="s">
        <v>855</v>
      </c>
      <c r="E29" s="618" t="s">
        <v>848</v>
      </c>
      <c r="F29" s="1015" t="s">
        <v>856</v>
      </c>
      <c r="G29" s="745"/>
      <c r="H29" s="751"/>
      <c r="I29" s="745"/>
      <c r="J29" s="751"/>
      <c r="K29" s="1013"/>
      <c r="L29" s="785"/>
      <c r="W29" s="740"/>
      <c r="X29" s="823">
        <v>0</v>
      </c>
    </row>
    <row s="5796" customFormat="1" customHeight="1" ht="18.75">
      <c r="A30" s="2457"/>
      <c r="C30" s="1021"/>
      <c r="D30" s="1018" t="s">
        <v>857</v>
      </c>
      <c r="E30" s="618" t="s">
        <v>858</v>
      </c>
      <c r="F30" s="1015" t="s">
        <v>859</v>
      </c>
      <c r="G30" s="745"/>
      <c r="H30" s="751"/>
      <c r="I30" s="745"/>
      <c r="J30" s="751"/>
      <c r="K30" s="1013"/>
      <c r="L30" s="785"/>
      <c r="W30" s="740"/>
      <c r="X30" s="823">
        <v>0</v>
      </c>
    </row>
    <row customHeight="1" ht="126.75">
      <c r="A31" s="2457"/>
      <c r="D31" s="1018" t="s">
        <v>114</v>
      </c>
      <c r="E31" s="344" t="s">
        <v>860</v>
      </c>
      <c r="F31" s="725" t="s">
        <v>571</v>
      </c>
      <c r="G31" s="622"/>
      <c r="H31" s="727"/>
      <c r="I31" s="622"/>
      <c r="J31" s="727"/>
      <c r="K31" s="354" t="s">
        <v>861</v>
      </c>
      <c r="L31" s="785"/>
      <c r="X31" s="570">
        <v>0</v>
      </c>
    </row>
    <row customHeight="1" ht="56.25">
      <c r="A32" s="2457"/>
      <c r="D32" s="1018" t="s">
        <v>95</v>
      </c>
      <c r="E32" s="344" t="s">
        <v>862</v>
      </c>
      <c r="F32" s="604" t="s">
        <v>832</v>
      </c>
      <c r="G32" s="622"/>
      <c r="H32" s="727"/>
      <c r="I32" s="622"/>
      <c r="J32" s="727"/>
      <c r="K32" s="354" t="s">
        <v>863</v>
      </c>
      <c r="L32" s="785"/>
      <c r="X32" s="570">
        <v>0</v>
      </c>
    </row>
    <row customHeight="1" ht="11.25">
      <c r="A33" s="2457"/>
      <c r="E33" s="729"/>
      <c r="F33" s="246"/>
      <c r="G33" s="246"/>
      <c r="H33" s="246"/>
      <c r="I33" s="246"/>
      <c r="J33" s="246"/>
      <c r="K33" s="246"/>
      <c r="X33" s="570">
        <v>0</v>
      </c>
    </row>
    <row customHeight="1" ht="12.75">
      <c r="A34" s="2457"/>
      <c r="D34" s="130">
        <v>1</v>
      </c>
      <c r="E34" s="400" t="s">
        <v>864</v>
      </c>
      <c r="X34" s="570">
        <v>0</v>
      </c>
    </row>
    <row customHeight="1" ht="11.25">
      <c r="A35" s="2457"/>
      <c r="D35" s="434"/>
      <c r="E35" s="400" t="s">
        <v>865</v>
      </c>
      <c r="X35" s="570">
        <v>0</v>
      </c>
    </row>
    <row s="5796" customFormat="1" customHeight="1" ht="11.549999999999999">
      <c r="A36" s="1098"/>
      <c r="B36" s="583"/>
      <c r="D36" s="1099"/>
      <c r="E36" s="1100"/>
      <c r="X36" s="574">
        <v>11</v>
      </c>
    </row>
    <row s="5796" customFormat="1" customHeight="1" ht="22.5" hidden="1">
      <c r="A37" s="2457" t="s">
        <v>866</v>
      </c>
      <c r="B37" s="576"/>
      <c r="D37" s="1018">
        <v>1</v>
      </c>
      <c r="E37" s="772" t="s">
        <v>867</v>
      </c>
      <c r="F37" s="725" t="s">
        <v>822</v>
      </c>
      <c r="G37" s="622"/>
      <c r="H37" s="584"/>
      <c r="I37" s="622"/>
      <c r="J37" s="584"/>
      <c r="K37" s="354" t="s">
        <v>868</v>
      </c>
      <c r="X37" s="823">
        <v>0</v>
      </c>
    </row>
    <row s="5796" customFormat="1" customHeight="1" ht="22.5" hidden="1">
      <c r="A38" s="2457"/>
      <c r="B38" s="576"/>
      <c r="D38" s="734" t="s">
        <v>113</v>
      </c>
      <c r="E38" s="1097" t="s">
        <v>869</v>
      </c>
      <c r="F38" s="1101" t="s">
        <v>559</v>
      </c>
      <c r="G38" s="1101" t="s">
        <v>559</v>
      </c>
      <c r="H38" s="1095"/>
      <c r="I38" s="1101" t="s">
        <v>559</v>
      </c>
      <c r="J38" s="1095"/>
      <c r="K38" s="1096"/>
      <c r="X38" s="823">
        <v>0</v>
      </c>
    </row>
    <row s="5796" customFormat="1" customHeight="1" ht="33.75" hidden="1">
      <c r="A39" s="2457"/>
      <c r="B39" s="576"/>
      <c r="D39" s="730" t="s">
        <v>724</v>
      </c>
      <c r="E39" s="788" t="s">
        <v>870</v>
      </c>
      <c r="F39" s="725" t="s">
        <v>871</v>
      </c>
      <c r="G39" s="733"/>
      <c r="H39" s="1088"/>
      <c r="I39" s="733"/>
      <c r="J39" s="1088"/>
      <c r="K39" s="354" t="s">
        <v>872</v>
      </c>
      <c r="X39" s="823">
        <v>0</v>
      </c>
    </row>
    <row s="5796" customFormat="1" customHeight="1" ht="33.75" hidden="1">
      <c r="A40" s="2457"/>
      <c r="B40" s="576"/>
      <c r="D40" s="730" t="s">
        <v>727</v>
      </c>
      <c r="E40" s="788" t="s">
        <v>873</v>
      </c>
      <c r="F40" s="1092" t="s">
        <v>874</v>
      </c>
      <c r="G40" s="806"/>
      <c r="H40" s="1088"/>
      <c r="I40" s="806"/>
      <c r="J40" s="1088"/>
      <c r="K40" s="354" t="s">
        <v>875</v>
      </c>
      <c r="X40" s="823">
        <v>0</v>
      </c>
    </row>
    <row s="5796" customFormat="1" customHeight="1" ht="22.5" hidden="1">
      <c r="A41" s="2457"/>
      <c r="B41" s="576"/>
      <c r="D41" s="730" t="s">
        <v>93</v>
      </c>
      <c r="E41" s="787" t="s">
        <v>876</v>
      </c>
      <c r="F41" s="725" t="s">
        <v>559</v>
      </c>
      <c r="G41" s="725" t="s">
        <v>559</v>
      </c>
      <c r="H41" s="1089"/>
      <c r="I41" s="725" t="s">
        <v>559</v>
      </c>
      <c r="J41" s="1089"/>
      <c r="K41" s="367"/>
      <c r="X41" s="823">
        <v>0</v>
      </c>
    </row>
    <row s="5796" customFormat="1" customHeight="1" ht="45" hidden="1">
      <c r="A42" s="2457"/>
      <c r="B42" s="576"/>
      <c r="D42" s="730" t="s">
        <v>333</v>
      </c>
      <c r="E42" s="788" t="s">
        <v>877</v>
      </c>
      <c r="F42" s="725" t="s">
        <v>571</v>
      </c>
      <c r="G42" s="622"/>
      <c r="H42" s="1089"/>
      <c r="I42" s="622"/>
      <c r="J42" s="1089"/>
      <c r="K42" s="367" t="s">
        <v>878</v>
      </c>
      <c r="X42" s="823">
        <v>0</v>
      </c>
    </row>
    <row s="5796" customFormat="1" customHeight="1" ht="45" hidden="1">
      <c r="A43" s="2457"/>
      <c r="B43" s="576"/>
      <c r="D43" s="730" t="s">
        <v>341</v>
      </c>
      <c r="E43" s="732" t="s">
        <v>879</v>
      </c>
      <c r="F43" s="1093" t="s">
        <v>571</v>
      </c>
      <c r="G43" s="807"/>
      <c r="H43" s="1088"/>
      <c r="I43" s="807"/>
      <c r="J43" s="1088"/>
      <c r="K43" s="367" t="s">
        <v>880</v>
      </c>
      <c r="X43" s="823">
        <v>0</v>
      </c>
    </row>
    <row s="5796" customFormat="1" customHeight="1" ht="11.25" hidden="1">
      <c r="A44" s="2457"/>
      <c r="B44" s="576"/>
      <c r="D44" s="730" t="s">
        <v>94</v>
      </c>
      <c r="E44" s="731" t="s">
        <v>881</v>
      </c>
      <c r="F44" s="725" t="s">
        <v>871</v>
      </c>
      <c r="G44" s="733"/>
      <c r="H44" s="1088"/>
      <c r="I44" s="733"/>
      <c r="J44" s="1088"/>
      <c r="K44" s="354"/>
      <c r="X44" s="823">
        <v>0</v>
      </c>
    </row>
    <row s="5796" customFormat="1" customHeight="1" ht="11.25" hidden="1">
      <c r="A45" s="2457"/>
      <c r="B45" s="576"/>
      <c r="D45" s="730" t="s">
        <v>766</v>
      </c>
      <c r="E45" s="732" t="s">
        <v>882</v>
      </c>
      <c r="F45" s="725" t="s">
        <v>871</v>
      </c>
      <c r="G45" s="733"/>
      <c r="H45" s="1088"/>
      <c r="I45" s="733"/>
      <c r="J45" s="1088"/>
      <c r="K45" s="354"/>
      <c r="X45" s="823">
        <v>0</v>
      </c>
    </row>
    <row s="5796" customFormat="1" customHeight="1" ht="11.25" hidden="1">
      <c r="A46" s="2457"/>
      <c r="B46" s="576"/>
      <c r="D46" s="730" t="s">
        <v>808</v>
      </c>
      <c r="E46" s="732" t="s">
        <v>883</v>
      </c>
      <c r="F46" s="725" t="s">
        <v>871</v>
      </c>
      <c r="G46" s="733"/>
      <c r="H46" s="1088"/>
      <c r="I46" s="733"/>
      <c r="J46" s="1088"/>
      <c r="K46" s="354"/>
      <c r="X46" s="823">
        <v>0</v>
      </c>
    </row>
    <row s="5796" customFormat="1" customHeight="1" ht="11.25" hidden="1">
      <c r="A47" s="2457"/>
      <c r="B47" s="576"/>
      <c r="D47" s="730" t="s">
        <v>811</v>
      </c>
      <c r="E47" s="732" t="s">
        <v>884</v>
      </c>
      <c r="F47" s="725" t="s">
        <v>871</v>
      </c>
      <c r="G47" s="733"/>
      <c r="H47" s="1088"/>
      <c r="I47" s="733"/>
      <c r="J47" s="1088"/>
      <c r="K47" s="354"/>
      <c r="X47" s="823">
        <v>0</v>
      </c>
    </row>
    <row s="5796" customFormat="1" customHeight="1" ht="11.25" hidden="1">
      <c r="A48" s="2457"/>
      <c r="B48" s="576"/>
      <c r="D48" s="730" t="s">
        <v>885</v>
      </c>
      <c r="E48" s="736" t="s">
        <v>886</v>
      </c>
      <c r="F48" s="725" t="s">
        <v>871</v>
      </c>
      <c r="G48" s="733"/>
      <c r="H48" s="1088"/>
      <c r="I48" s="733"/>
      <c r="J48" s="1088"/>
      <c r="K48" s="354"/>
      <c r="X48" s="823">
        <v>0</v>
      </c>
    </row>
    <row s="5796" customFormat="1" customHeight="1" ht="11.25" hidden="1">
      <c r="A49" s="2457"/>
      <c r="B49" s="576"/>
      <c r="D49" s="730" t="s">
        <v>887</v>
      </c>
      <c r="E49" s="736" t="s">
        <v>888</v>
      </c>
      <c r="F49" s="725" t="s">
        <v>871</v>
      </c>
      <c r="G49" s="733"/>
      <c r="H49" s="1088"/>
      <c r="I49" s="733"/>
      <c r="J49" s="1088"/>
      <c r="K49" s="354"/>
      <c r="X49" s="823">
        <v>0</v>
      </c>
    </row>
    <row s="5796" customFormat="1" customHeight="1" ht="11.25" hidden="1">
      <c r="A50" s="2457"/>
      <c r="B50" s="576"/>
      <c r="D50" s="730" t="s">
        <v>889</v>
      </c>
      <c r="E50" s="732" t="s">
        <v>890</v>
      </c>
      <c r="F50" s="725" t="s">
        <v>871</v>
      </c>
      <c r="G50" s="733"/>
      <c r="H50" s="1088"/>
      <c r="I50" s="733"/>
      <c r="J50" s="1088"/>
      <c r="K50" s="354"/>
      <c r="X50" s="823">
        <v>0</v>
      </c>
    </row>
    <row s="5796" customFormat="1" customHeight="1" ht="11.25" hidden="1">
      <c r="A51" s="2457"/>
      <c r="B51" s="576"/>
      <c r="D51" s="730" t="s">
        <v>891</v>
      </c>
      <c r="E51" s="732" t="s">
        <v>892</v>
      </c>
      <c r="F51" s="725" t="s">
        <v>871</v>
      </c>
      <c r="G51" s="733"/>
      <c r="H51" s="1088"/>
      <c r="I51" s="733"/>
      <c r="J51" s="1088"/>
      <c r="K51" s="354"/>
      <c r="X51" s="823">
        <v>0</v>
      </c>
    </row>
    <row s="5796" customFormat="1" customHeight="1" ht="45" hidden="1">
      <c r="A52" s="2457"/>
      <c r="B52" s="576"/>
      <c r="D52" s="730" t="s">
        <v>114</v>
      </c>
      <c r="E52" s="731" t="s">
        <v>893</v>
      </c>
      <c r="F52" s="725" t="s">
        <v>871</v>
      </c>
      <c r="G52" s="733"/>
      <c r="H52" s="1088"/>
      <c r="I52" s="733"/>
      <c r="J52" s="1088"/>
      <c r="K52" s="354"/>
      <c r="X52" s="823">
        <v>0</v>
      </c>
    </row>
    <row s="5796" customFormat="1" customHeight="1" ht="11.25" hidden="1">
      <c r="A53" s="2457"/>
      <c r="B53" s="576"/>
      <c r="D53" s="730" t="s">
        <v>322</v>
      </c>
      <c r="E53" s="732" t="s">
        <v>882</v>
      </c>
      <c r="F53" s="725" t="s">
        <v>871</v>
      </c>
      <c r="G53" s="733"/>
      <c r="H53" s="1088"/>
      <c r="I53" s="733"/>
      <c r="J53" s="1088"/>
      <c r="K53" s="354"/>
      <c r="X53" s="823">
        <v>0</v>
      </c>
    </row>
    <row s="5796" customFormat="1" customHeight="1" ht="11.25" hidden="1">
      <c r="A54" s="2457"/>
      <c r="B54" s="576"/>
      <c r="D54" s="730" t="s">
        <v>894</v>
      </c>
      <c r="E54" s="732" t="s">
        <v>883</v>
      </c>
      <c r="F54" s="725" t="s">
        <v>871</v>
      </c>
      <c r="G54" s="733"/>
      <c r="H54" s="1088"/>
      <c r="I54" s="733"/>
      <c r="J54" s="1088"/>
      <c r="K54" s="354"/>
      <c r="X54" s="823">
        <v>0</v>
      </c>
    </row>
    <row s="5796" customFormat="1" customHeight="1" ht="11.25" hidden="1">
      <c r="A55" s="2457"/>
      <c r="B55" s="576"/>
      <c r="D55" s="730" t="s">
        <v>895</v>
      </c>
      <c r="E55" s="732" t="s">
        <v>884</v>
      </c>
      <c r="F55" s="725" t="s">
        <v>871</v>
      </c>
      <c r="G55" s="733"/>
      <c r="H55" s="1088"/>
      <c r="I55" s="733"/>
      <c r="J55" s="1088"/>
      <c r="K55" s="354"/>
      <c r="X55" s="823">
        <v>0</v>
      </c>
    </row>
    <row s="5796" customFormat="1" customHeight="1" ht="11.25" hidden="1">
      <c r="A56" s="2457"/>
      <c r="B56" s="576"/>
      <c r="D56" s="730" t="s">
        <v>896</v>
      </c>
      <c r="E56" s="736" t="s">
        <v>886</v>
      </c>
      <c r="F56" s="725" t="s">
        <v>871</v>
      </c>
      <c r="G56" s="733"/>
      <c r="H56" s="1088"/>
      <c r="I56" s="733"/>
      <c r="J56" s="1088"/>
      <c r="K56" s="354"/>
      <c r="X56" s="823">
        <v>0</v>
      </c>
    </row>
    <row s="5796" customFormat="1" customHeight="1" ht="11.25" hidden="1">
      <c r="A57" s="2457"/>
      <c r="B57" s="576"/>
      <c r="D57" s="730" t="s">
        <v>897</v>
      </c>
      <c r="E57" s="736" t="s">
        <v>888</v>
      </c>
      <c r="F57" s="725" t="s">
        <v>871</v>
      </c>
      <c r="G57" s="733"/>
      <c r="H57" s="1088"/>
      <c r="I57" s="733"/>
      <c r="J57" s="1088"/>
      <c r="K57" s="354"/>
      <c r="X57" s="823">
        <v>0</v>
      </c>
    </row>
    <row s="5796" customFormat="1" customHeight="1" ht="11.25" hidden="1">
      <c r="A58" s="2457"/>
      <c r="B58" s="576"/>
      <c r="D58" s="730" t="s">
        <v>898</v>
      </c>
      <c r="E58" s="732" t="s">
        <v>890</v>
      </c>
      <c r="F58" s="725" t="s">
        <v>871</v>
      </c>
      <c r="G58" s="733"/>
      <c r="H58" s="1088"/>
      <c r="I58" s="733"/>
      <c r="J58" s="1088"/>
      <c r="K58" s="354"/>
      <c r="X58" s="823">
        <v>0</v>
      </c>
    </row>
    <row s="5796" customFormat="1" customHeight="1" ht="11.25" hidden="1">
      <c r="A59" s="2457"/>
      <c r="B59" s="576"/>
      <c r="D59" s="730" t="s">
        <v>899</v>
      </c>
      <c r="E59" s="732" t="s">
        <v>892</v>
      </c>
      <c r="F59" s="725" t="s">
        <v>871</v>
      </c>
      <c r="G59" s="733"/>
      <c r="H59" s="1088"/>
      <c r="I59" s="733"/>
      <c r="J59" s="1088"/>
      <c r="K59" s="354"/>
      <c r="X59" s="823">
        <v>0</v>
      </c>
    </row>
    <row s="5796" customFormat="1" customHeight="1" ht="33.75" hidden="1">
      <c r="A60" s="2457"/>
      <c r="B60" s="576"/>
      <c r="D60" s="730" t="s">
        <v>95</v>
      </c>
      <c r="E60" s="731" t="s">
        <v>900</v>
      </c>
      <c r="F60" s="786" t="s">
        <v>571</v>
      </c>
      <c r="G60" s="807"/>
      <c r="H60" s="1088"/>
      <c r="I60" s="807"/>
      <c r="J60" s="1088"/>
      <c r="K60" s="367" t="s">
        <v>901</v>
      </c>
      <c r="X60" s="823">
        <v>0</v>
      </c>
    </row>
    <row s="5796" customFormat="1" customHeight="1" ht="33.75" hidden="1">
      <c r="A61" s="2457"/>
      <c r="B61" s="576"/>
      <c r="D61" s="730" t="s">
        <v>96</v>
      </c>
      <c r="E61" s="731" t="s">
        <v>902</v>
      </c>
      <c r="F61" s="791" t="s">
        <v>832</v>
      </c>
      <c r="G61" s="733"/>
      <c r="H61" s="1088"/>
      <c r="I61" s="733"/>
      <c r="J61" s="1088"/>
      <c r="K61" s="354"/>
      <c r="X61" s="823">
        <v>0</v>
      </c>
    </row>
    <row s="5796" customFormat="1" customHeight="1" ht="22.5" hidden="1">
      <c r="A62" s="2457"/>
      <c r="B62" s="576" t="s">
        <v>601</v>
      </c>
      <c r="D62" s="730" t="s">
        <v>115</v>
      </c>
      <c r="E62" s="731" t="s">
        <v>903</v>
      </c>
      <c r="F62" s="791" t="s">
        <v>315</v>
      </c>
      <c r="G62" s="447"/>
      <c r="H62" s="1088"/>
      <c r="I62" s="447"/>
      <c r="J62" s="1088"/>
      <c r="K62" s="354" t="s">
        <v>644</v>
      </c>
      <c r="X62" s="823">
        <v>0</v>
      </c>
    </row>
    <row s="5796" customFormat="1" customHeight="1" ht="45" hidden="1">
      <c r="A63" s="2457"/>
      <c r="B63" s="576" t="s">
        <v>601</v>
      </c>
      <c r="D63" s="730" t="s">
        <v>904</v>
      </c>
      <c r="E63" s="732" t="s">
        <v>905</v>
      </c>
      <c r="F63" s="786" t="s">
        <v>315</v>
      </c>
      <c r="G63" s="447"/>
      <c r="H63" s="1088"/>
      <c r="I63" s="447"/>
      <c r="J63" s="1088"/>
      <c r="K63" s="354" t="s">
        <v>644</v>
      </c>
      <c r="X63" s="823">
        <v>0</v>
      </c>
    </row>
    <row s="5796" customFormat="1" customHeight="1" ht="11.549999999999999">
      <c r="A64" s="1098"/>
      <c r="B64" s="583"/>
      <c r="D64" s="1099"/>
      <c r="E64" s="1100"/>
      <c r="X64" s="574">
        <v>11</v>
      </c>
    </row>
    <row s="5796" customFormat="1" customHeight="1" ht="22.5" hidden="1">
      <c r="A65" s="2457" t="s">
        <v>906</v>
      </c>
      <c r="B65" s="576"/>
      <c r="D65" s="730">
        <v>1</v>
      </c>
      <c r="E65" s="809" t="s">
        <v>907</v>
      </c>
      <c r="F65" s="805" t="s">
        <v>822</v>
      </c>
      <c r="G65" s="806"/>
      <c r="H65" s="1094"/>
      <c r="I65" s="806"/>
      <c r="J65" s="1094"/>
      <c r="K65" s="366" t="s">
        <v>908</v>
      </c>
      <c r="X65" s="823">
        <v>0</v>
      </c>
    </row>
    <row s="5796" customFormat="1" customHeight="1" ht="56.25" hidden="1">
      <c r="A66" s="2457"/>
      <c r="B66" s="576"/>
      <c r="D66" s="808" t="s">
        <v>113</v>
      </c>
      <c r="E66" s="772" t="s">
        <v>909</v>
      </c>
      <c r="F66" s="725" t="s">
        <v>559</v>
      </c>
      <c r="G66" s="725" t="s">
        <v>559</v>
      </c>
      <c r="H66" s="584"/>
      <c r="I66" s="725" t="s">
        <v>559</v>
      </c>
      <c r="J66" s="584"/>
      <c r="K66" s="354"/>
      <c r="X66" s="823">
        <v>0</v>
      </c>
    </row>
    <row s="5796" customFormat="1" customHeight="1" ht="33.75" hidden="1">
      <c r="A67" s="2457"/>
      <c r="B67" s="576"/>
      <c r="D67" s="808" t="s">
        <v>721</v>
      </c>
      <c r="E67" s="1019" t="s">
        <v>910</v>
      </c>
      <c r="F67" s="725" t="s">
        <v>874</v>
      </c>
      <c r="G67" s="792"/>
      <c r="H67" s="584"/>
      <c r="I67" s="792"/>
      <c r="J67" s="584"/>
      <c r="K67" s="354"/>
      <c r="X67" s="823">
        <v>0</v>
      </c>
    </row>
    <row s="5796" customFormat="1" customHeight="1" ht="22.5" hidden="1">
      <c r="A68" s="2457"/>
      <c r="B68" s="576"/>
      <c r="D68" s="808" t="s">
        <v>316</v>
      </c>
      <c r="E68" s="1019" t="s">
        <v>911</v>
      </c>
      <c r="F68" s="725" t="s">
        <v>874</v>
      </c>
      <c r="G68" s="792"/>
      <c r="H68" s="584"/>
      <c r="I68" s="792"/>
      <c r="J68" s="584"/>
      <c r="K68" s="354"/>
      <c r="X68" s="823">
        <v>0</v>
      </c>
    </row>
    <row s="5796" customFormat="1" customHeight="1" ht="22.5" hidden="1">
      <c r="A69" s="2457"/>
      <c r="B69" s="576"/>
      <c r="D69" s="808" t="s">
        <v>319</v>
      </c>
      <c r="E69" s="1019" t="s">
        <v>912</v>
      </c>
      <c r="F69" s="786" t="s">
        <v>571</v>
      </c>
      <c r="G69" s="807"/>
      <c r="H69" s="584"/>
      <c r="I69" s="807"/>
      <c r="J69" s="584"/>
      <c r="K69" s="354"/>
      <c r="X69" s="823">
        <v>0</v>
      </c>
    </row>
    <row s="5796" customFormat="1" customHeight="1" ht="22.5" hidden="1">
      <c r="A70" s="2457"/>
      <c r="B70" s="576"/>
      <c r="D70" s="808" t="s">
        <v>741</v>
      </c>
      <c r="E70" s="1019" t="s">
        <v>913</v>
      </c>
      <c r="F70" s="786" t="s">
        <v>571</v>
      </c>
      <c r="G70" s="807"/>
      <c r="H70" s="584"/>
      <c r="I70" s="807"/>
      <c r="J70" s="584"/>
      <c r="K70" s="354"/>
      <c r="X70" s="823">
        <v>0</v>
      </c>
    </row>
    <row s="5796" customFormat="1" customHeight="1" ht="22.5" hidden="1">
      <c r="A71" s="2457"/>
      <c r="B71" s="576"/>
      <c r="D71" s="730" t="s">
        <v>93</v>
      </c>
      <c r="E71" s="731" t="s">
        <v>914</v>
      </c>
      <c r="F71" s="725" t="s">
        <v>874</v>
      </c>
      <c r="G71" s="622"/>
      <c r="H71" s="1095"/>
      <c r="I71" s="622"/>
      <c r="J71" s="1095"/>
      <c r="K71" s="367"/>
      <c r="X71" s="823">
        <v>0</v>
      </c>
    </row>
    <row s="5796" customFormat="1" customHeight="1" ht="56.25" hidden="1">
      <c r="A72" s="2457"/>
      <c r="B72" s="576"/>
      <c r="D72" s="730" t="s">
        <v>94</v>
      </c>
      <c r="E72" s="731" t="s">
        <v>915</v>
      </c>
      <c r="F72" s="786" t="s">
        <v>571</v>
      </c>
      <c r="G72" s="807"/>
      <c r="H72" s="1088"/>
      <c r="I72" s="807"/>
      <c r="J72" s="1088"/>
      <c r="K72" s="367"/>
      <c r="X72" s="823">
        <v>0</v>
      </c>
    </row>
    <row s="5796" customFormat="1" customHeight="1" ht="33.75" hidden="1">
      <c r="A73" s="2457"/>
      <c r="B73" s="576"/>
      <c r="D73" s="730" t="s">
        <v>114</v>
      </c>
      <c r="E73" s="731" t="s">
        <v>916</v>
      </c>
      <c r="F73" s="791" t="s">
        <v>832</v>
      </c>
      <c r="G73" s="733"/>
      <c r="H73" s="1088"/>
      <c r="I73" s="733"/>
      <c r="J73" s="1088"/>
      <c r="K73" s="354"/>
      <c r="X73" s="823">
        <v>0</v>
      </c>
    </row>
    <row s="5796" customFormat="1" customHeight="1" ht="22.5" hidden="1">
      <c r="A74" s="2457"/>
      <c r="B74" s="576" t="s">
        <v>601</v>
      </c>
      <c r="D74" s="730" t="s">
        <v>95</v>
      </c>
      <c r="E74" s="731" t="s">
        <v>917</v>
      </c>
      <c r="F74" s="791" t="s">
        <v>315</v>
      </c>
      <c r="G74" s="447"/>
      <c r="H74" s="1088"/>
      <c r="I74" s="447"/>
      <c r="J74" s="1088"/>
      <c r="K74" s="354" t="s">
        <v>644</v>
      </c>
      <c r="X74" s="823">
        <v>0</v>
      </c>
    </row>
    <row s="5796" customFormat="1" customHeight="1" ht="45" hidden="1">
      <c r="A75" s="2457"/>
      <c r="B75" s="576" t="s">
        <v>601</v>
      </c>
      <c r="D75" s="730" t="s">
        <v>665</v>
      </c>
      <c r="E75" s="732" t="s">
        <v>918</v>
      </c>
      <c r="F75" s="786" t="s">
        <v>315</v>
      </c>
      <c r="G75" s="447"/>
      <c r="H75" s="1088"/>
      <c r="I75" s="447"/>
      <c r="J75" s="1088"/>
      <c r="K75" s="354" t="s">
        <v>644</v>
      </c>
      <c r="X75" s="823">
        <v>0</v>
      </c>
    </row>
    <row s="5796" customFormat="1" customHeight="1" ht="11.549999999999999">
      <c r="A76" s="1098"/>
      <c r="B76" s="583"/>
      <c r="D76" s="1099"/>
      <c r="E76" s="1100"/>
      <c r="X76" s="574">
        <v>11</v>
      </c>
    </row>
    <row s="5796" customFormat="1" customHeight="1" ht="11.25" hidden="1">
      <c r="A77" s="2457" t="s">
        <v>919</v>
      </c>
      <c r="B77" s="576"/>
      <c r="D77" s="730">
        <v>1</v>
      </c>
      <c r="E77" s="731" t="s">
        <v>920</v>
      </c>
      <c r="F77" s="786" t="s">
        <v>822</v>
      </c>
      <c r="G77" s="789"/>
      <c r="H77" s="1088"/>
      <c r="I77" s="789"/>
      <c r="J77" s="1088"/>
      <c r="K77" s="354" t="s">
        <v>921</v>
      </c>
      <c r="X77" s="823">
        <v>0</v>
      </c>
    </row>
    <row s="5796" customFormat="1" customHeight="1" ht="11.25" hidden="1">
      <c r="A78" s="2457"/>
      <c r="B78" s="576"/>
      <c r="D78" s="730" t="s">
        <v>113</v>
      </c>
      <c r="E78" s="731" t="s">
        <v>922</v>
      </c>
      <c r="F78" s="786" t="s">
        <v>822</v>
      </c>
      <c r="G78" s="789"/>
      <c r="H78" s="1088"/>
      <c r="I78" s="789"/>
      <c r="J78" s="1088"/>
      <c r="K78" s="354" t="s">
        <v>923</v>
      </c>
      <c r="X78" s="823">
        <v>0</v>
      </c>
    </row>
    <row s="5796" customFormat="1" customHeight="1" ht="22.5" hidden="1">
      <c r="A79" s="2457"/>
      <c r="B79" s="576"/>
      <c r="D79" s="730" t="s">
        <v>93</v>
      </c>
      <c r="E79" s="787" t="s">
        <v>924</v>
      </c>
      <c r="F79" s="725" t="s">
        <v>871</v>
      </c>
      <c r="G79" s="789"/>
      <c r="H79" s="1088"/>
      <c r="I79" s="789"/>
      <c r="J79" s="1088"/>
      <c r="K79" s="354" t="s">
        <v>925</v>
      </c>
      <c r="X79" s="823">
        <v>0</v>
      </c>
    </row>
    <row s="5796" customFormat="1" customHeight="1" ht="11.25" hidden="1">
      <c r="A80" s="2457"/>
      <c r="B80" s="576"/>
      <c r="D80" s="730" t="s">
        <v>333</v>
      </c>
      <c r="E80" s="788" t="s">
        <v>926</v>
      </c>
      <c r="F80" s="725" t="s">
        <v>871</v>
      </c>
      <c r="G80" s="789"/>
      <c r="H80" s="1088"/>
      <c r="I80" s="789"/>
      <c r="J80" s="1088"/>
      <c r="K80" s="354"/>
      <c r="X80" s="823">
        <v>0</v>
      </c>
    </row>
    <row s="5796" customFormat="1" customHeight="1" ht="11.25" hidden="1">
      <c r="A81" s="2457"/>
      <c r="B81" s="576"/>
      <c r="D81" s="730" t="s">
        <v>341</v>
      </c>
      <c r="E81" s="788" t="s">
        <v>927</v>
      </c>
      <c r="F81" s="725" t="s">
        <v>871</v>
      </c>
      <c r="G81" s="789"/>
      <c r="H81" s="1088"/>
      <c r="I81" s="789"/>
      <c r="J81" s="1088"/>
      <c r="K81" s="354"/>
      <c r="X81" s="823">
        <v>0</v>
      </c>
    </row>
    <row s="5796" customFormat="1" customHeight="1" ht="11.25" hidden="1">
      <c r="A82" s="2457"/>
      <c r="B82" s="576"/>
      <c r="D82" s="730" t="s">
        <v>343</v>
      </c>
      <c r="E82" s="788" t="s">
        <v>928</v>
      </c>
      <c r="F82" s="725" t="s">
        <v>871</v>
      </c>
      <c r="G82" s="789"/>
      <c r="H82" s="1088"/>
      <c r="I82" s="789"/>
      <c r="J82" s="1088"/>
      <c r="K82" s="354"/>
      <c r="X82" s="823">
        <v>0</v>
      </c>
    </row>
    <row s="5796" customFormat="1" customHeight="1" ht="11.25" hidden="1">
      <c r="A83" s="2457"/>
      <c r="B83" s="576"/>
      <c r="D83" s="730" t="s">
        <v>345</v>
      </c>
      <c r="E83" s="788" t="s">
        <v>929</v>
      </c>
      <c r="F83" s="725" t="s">
        <v>871</v>
      </c>
      <c r="G83" s="789"/>
      <c r="H83" s="1088"/>
      <c r="I83" s="789"/>
      <c r="J83" s="1088"/>
      <c r="K83" s="354"/>
      <c r="X83" s="823">
        <v>0</v>
      </c>
    </row>
    <row s="5796" customFormat="1" customHeight="1" ht="11.25" hidden="1">
      <c r="A84" s="2457"/>
      <c r="B84" s="576"/>
      <c r="D84" s="730" t="s">
        <v>930</v>
      </c>
      <c r="E84" s="788" t="s">
        <v>931</v>
      </c>
      <c r="F84" s="725" t="s">
        <v>871</v>
      </c>
      <c r="G84" s="789"/>
      <c r="H84" s="1088"/>
      <c r="I84" s="789"/>
      <c r="J84" s="1088"/>
      <c r="K84" s="354"/>
      <c r="X84" s="823">
        <v>0</v>
      </c>
    </row>
    <row s="5796" customFormat="1" customHeight="1" ht="11.25" hidden="1">
      <c r="A85" s="2457"/>
      <c r="B85" s="576"/>
      <c r="D85" s="730" t="s">
        <v>932</v>
      </c>
      <c r="E85" s="788" t="s">
        <v>933</v>
      </c>
      <c r="F85" s="725" t="s">
        <v>871</v>
      </c>
      <c r="G85" s="789"/>
      <c r="H85" s="1088"/>
      <c r="I85" s="789"/>
      <c r="J85" s="1088"/>
      <c r="K85" s="354"/>
      <c r="X85" s="823">
        <v>0</v>
      </c>
    </row>
    <row s="5796" customFormat="1" customHeight="1" ht="11.25" hidden="1">
      <c r="A86" s="2457"/>
      <c r="B86" s="576"/>
      <c r="D86" s="730" t="s">
        <v>934</v>
      </c>
      <c r="E86" s="788" t="s">
        <v>935</v>
      </c>
      <c r="F86" s="725" t="s">
        <v>871</v>
      </c>
      <c r="G86" s="789"/>
      <c r="H86" s="1088"/>
      <c r="I86" s="789"/>
      <c r="J86" s="1088"/>
      <c r="K86" s="354"/>
      <c r="X86" s="823">
        <v>0</v>
      </c>
    </row>
    <row s="5796" customFormat="1" customHeight="1" ht="45" hidden="1">
      <c r="A87" s="2457"/>
      <c r="B87" s="576"/>
      <c r="D87" s="730" t="s">
        <v>94</v>
      </c>
      <c r="E87" s="731" t="s">
        <v>936</v>
      </c>
      <c r="F87" s="725" t="s">
        <v>871</v>
      </c>
      <c r="G87" s="789"/>
      <c r="H87" s="1088"/>
      <c r="I87" s="789"/>
      <c r="J87" s="1088"/>
      <c r="K87" s="354" t="s">
        <v>937</v>
      </c>
      <c r="X87" s="823">
        <v>0</v>
      </c>
    </row>
    <row s="5796" customFormat="1" customHeight="1" ht="11.25" hidden="1">
      <c r="A88" s="2457"/>
      <c r="B88" s="576"/>
      <c r="D88" s="730" t="s">
        <v>766</v>
      </c>
      <c r="E88" s="788" t="s">
        <v>926</v>
      </c>
      <c r="F88" s="725" t="s">
        <v>871</v>
      </c>
      <c r="G88" s="789"/>
      <c r="H88" s="1088"/>
      <c r="I88" s="789"/>
      <c r="J88" s="1088"/>
      <c r="K88" s="354"/>
      <c r="X88" s="823">
        <v>0</v>
      </c>
    </row>
    <row s="5796" customFormat="1" customHeight="1" ht="11.25" hidden="1">
      <c r="A89" s="2457"/>
      <c r="B89" s="576"/>
      <c r="D89" s="730" t="s">
        <v>808</v>
      </c>
      <c r="E89" s="788" t="s">
        <v>927</v>
      </c>
      <c r="F89" s="725" t="s">
        <v>871</v>
      </c>
      <c r="G89" s="789"/>
      <c r="H89" s="1088"/>
      <c r="I89" s="789"/>
      <c r="J89" s="1088"/>
      <c r="K89" s="354"/>
      <c r="X89" s="823">
        <v>0</v>
      </c>
    </row>
    <row s="5796" customFormat="1" customHeight="1" ht="11.25" hidden="1">
      <c r="A90" s="2457"/>
      <c r="B90" s="576"/>
      <c r="D90" s="730" t="s">
        <v>811</v>
      </c>
      <c r="E90" s="788" t="s">
        <v>928</v>
      </c>
      <c r="F90" s="725" t="s">
        <v>871</v>
      </c>
      <c r="G90" s="789"/>
      <c r="H90" s="1088"/>
      <c r="I90" s="789"/>
      <c r="J90" s="1088"/>
      <c r="K90" s="354"/>
      <c r="X90" s="823">
        <v>0</v>
      </c>
    </row>
    <row s="5796" customFormat="1" customHeight="1" ht="11.25" hidden="1">
      <c r="A91" s="2457"/>
      <c r="B91" s="576"/>
      <c r="D91" s="730" t="s">
        <v>889</v>
      </c>
      <c r="E91" s="788" t="s">
        <v>929</v>
      </c>
      <c r="F91" s="725" t="s">
        <v>871</v>
      </c>
      <c r="G91" s="789"/>
      <c r="H91" s="1088"/>
      <c r="I91" s="789"/>
      <c r="J91" s="1088"/>
      <c r="K91" s="354"/>
      <c r="X91" s="823">
        <v>0</v>
      </c>
    </row>
    <row s="5796" customFormat="1" customHeight="1" ht="11.25" hidden="1">
      <c r="A92" s="2457"/>
      <c r="B92" s="576"/>
      <c r="D92" s="730" t="s">
        <v>891</v>
      </c>
      <c r="E92" s="788" t="s">
        <v>931</v>
      </c>
      <c r="F92" s="725" t="s">
        <v>871</v>
      </c>
      <c r="G92" s="789"/>
      <c r="H92" s="1088"/>
      <c r="I92" s="789"/>
      <c r="J92" s="1088"/>
      <c r="K92" s="354"/>
      <c r="X92" s="823">
        <v>0</v>
      </c>
    </row>
    <row s="5796" customFormat="1" customHeight="1" ht="11.25" hidden="1">
      <c r="A93" s="2457"/>
      <c r="B93" s="576"/>
      <c r="D93" s="730" t="s">
        <v>938</v>
      </c>
      <c r="E93" s="788" t="s">
        <v>933</v>
      </c>
      <c r="F93" s="725" t="s">
        <v>871</v>
      </c>
      <c r="G93" s="789"/>
      <c r="H93" s="1088"/>
      <c r="I93" s="789"/>
      <c r="J93" s="1088"/>
      <c r="K93" s="354"/>
      <c r="X93" s="823">
        <v>0</v>
      </c>
    </row>
    <row s="5796" customFormat="1" customHeight="1" ht="11.25" hidden="1">
      <c r="A94" s="2457"/>
      <c r="B94" s="576"/>
      <c r="D94" s="730" t="s">
        <v>939</v>
      </c>
      <c r="E94" s="788" t="s">
        <v>935</v>
      </c>
      <c r="F94" s="725" t="s">
        <v>871</v>
      </c>
      <c r="G94" s="789"/>
      <c r="H94" s="1088"/>
      <c r="I94" s="789"/>
      <c r="J94" s="1088"/>
      <c r="K94" s="354"/>
      <c r="X94" s="823">
        <v>0</v>
      </c>
    </row>
    <row s="5796" customFormat="1" customHeight="1" ht="24.75" hidden="1">
      <c r="A95" s="2457"/>
      <c r="B95" s="576"/>
      <c r="D95" s="730" t="s">
        <v>114</v>
      </c>
      <c r="E95" s="731" t="s">
        <v>940</v>
      </c>
      <c r="F95" s="790" t="s">
        <v>571</v>
      </c>
      <c r="G95" s="792"/>
      <c r="H95" s="1088"/>
      <c r="I95" s="792"/>
      <c r="J95" s="1088"/>
      <c r="K95" s="354" t="s">
        <v>941</v>
      </c>
      <c r="X95" s="823">
        <v>0</v>
      </c>
    </row>
    <row s="5796" customFormat="1" customHeight="1" ht="33.75" hidden="1">
      <c r="A96" s="2457"/>
      <c r="B96" s="576"/>
      <c r="D96" s="730" t="s">
        <v>95</v>
      </c>
      <c r="E96" s="731" t="s">
        <v>942</v>
      </c>
      <c r="F96" s="791" t="s">
        <v>832</v>
      </c>
      <c r="G96" s="793"/>
      <c r="H96" s="1088"/>
      <c r="I96" s="793"/>
      <c r="J96" s="1088"/>
      <c r="K96" s="354"/>
      <c r="X96" s="823">
        <v>0</v>
      </c>
    </row>
    <row s="5796" customFormat="1" customHeight="1" ht="22.5" hidden="1">
      <c r="A97" s="2457"/>
      <c r="B97" s="576" t="s">
        <v>601</v>
      </c>
      <c r="D97" s="730" t="s">
        <v>96</v>
      </c>
      <c r="E97" s="731" t="s">
        <v>943</v>
      </c>
      <c r="F97" s="791" t="s">
        <v>315</v>
      </c>
      <c r="G97" s="450"/>
      <c r="H97" s="1088"/>
      <c r="I97" s="450"/>
      <c r="J97" s="1088"/>
      <c r="K97" s="354" t="s">
        <v>644</v>
      </c>
      <c r="X97" s="823">
        <v>0</v>
      </c>
    </row>
    <row s="5796" customFormat="1" customHeight="1" ht="45" hidden="1">
      <c r="A98" s="2457"/>
      <c r="B98" s="576" t="s">
        <v>601</v>
      </c>
      <c r="D98" s="730" t="s">
        <v>944</v>
      </c>
      <c r="E98" s="732" t="s">
        <v>945</v>
      </c>
      <c r="F98" s="786" t="s">
        <v>315</v>
      </c>
      <c r="G98" s="450"/>
      <c r="H98" s="1088"/>
      <c r="I98" s="450"/>
      <c r="J98" s="1088"/>
      <c r="K98" s="354" t="s">
        <v>644</v>
      </c>
      <c r="X98" s="823">
        <v>0</v>
      </c>
    </row>
    <row s="5796" customFormat="1" customHeight="1" ht="95.25" hidden="1">
      <c r="A99" s="2457"/>
      <c r="B99" s="576" t="s">
        <v>601</v>
      </c>
      <c r="D99" s="730" t="s">
        <v>115</v>
      </c>
      <c r="E99" s="731" t="s">
        <v>946</v>
      </c>
      <c r="F99" s="786" t="s">
        <v>315</v>
      </c>
      <c r="G99" s="450"/>
      <c r="H99" s="1088"/>
      <c r="I99" s="450"/>
      <c r="J99" s="1088"/>
      <c r="K99" s="354" t="s">
        <v>644</v>
      </c>
      <c r="X99" s="823">
        <v>0</v>
      </c>
    </row>
    <row s="5796" customFormat="1" customHeight="1" ht="22.5" hidden="1">
      <c r="A100" s="2457"/>
      <c r="B100" s="576" t="s">
        <v>601</v>
      </c>
      <c r="D100" s="730" t="s">
        <v>151</v>
      </c>
      <c r="E100" s="731" t="s">
        <v>947</v>
      </c>
      <c r="F100" s="786" t="s">
        <v>315</v>
      </c>
      <c r="G100" s="450"/>
      <c r="H100" s="1088"/>
      <c r="I100" s="450"/>
      <c r="J100" s="1088"/>
      <c r="K100" s="354" t="s">
        <v>644</v>
      </c>
      <c r="X100" s="823">
        <v>0</v>
      </c>
    </row>
    <row s="5796"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C9B01-D8EA-D0B7-5C79-0.12171FA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339" width="6.421875" hidden="1" customWidth="1"/>
    <col min="2" max="2" style="6339" width="2.00390625" hidden="1" customWidth="1"/>
    <col min="3" max="3" style="6339" width="3.00390625" customWidth="1"/>
    <col min="4" max="4" style="6339" width="4.00390625" customWidth="1"/>
    <col min="5" max="5" style="6339" width="44.00390625" customWidth="1"/>
    <col min="6" max="6" style="6339" width="6.421875" customWidth="1"/>
    <col min="7" max="7" style="6339" width="4.00390625" customWidth="1"/>
    <col min="8" max="8" style="6339" width="5.00390625" customWidth="1"/>
    <col min="9" max="9" style="6339" width="52.00390625" customWidth="1"/>
    <col min="10" max="10" style="6339" width="7.00390625" customWidth="1"/>
    <col min="11" max="11" style="6339" width="3.00390625" customWidth="1"/>
    <col min="12" max="12" style="6339" width="6.00390625" customWidth="1"/>
    <col min="13" max="13" style="6339" width="56.00390625" customWidth="1"/>
    <col min="14" max="14" style="3968" width="8.00390625" customWidth="1"/>
    <col min="15" max="20" style="5748" width="9.140625" hidden="1"/>
    <col min="21" max="24" style="5872" width="9.140625" hidden="1"/>
    <col min="25" max="37" style="3968" width="9.140625" hidden="1"/>
    <col min="38" max="38" style="3968" width="8.00390625" customWidth="1"/>
    <col min="39" max="39" style="6339"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теплоснабжения (цены и тарифы)</v>
      </c>
      <c r="E4" s="2185"/>
      <c r="F4" s="2185"/>
      <c r="G4" s="2185"/>
      <c r="H4" s="2185"/>
      <c r="I4" s="2186"/>
      <c r="J4" s="649"/>
      <c r="K4" s="649"/>
      <c r="L4" s="649"/>
      <c r="M4" s="649"/>
      <c r="AM4" s="648">
        <v>34</v>
      </c>
    </row>
    <row s="3056" customFormat="1" customHeight="1" ht="14.699999999999998">
      <c r="A5" s="650"/>
      <c r="B5" s="650"/>
      <c r="C5" s="650"/>
      <c r="D5" s="2187" t="str">
        <f>IF(org=0,"Не определено",org)</f>
        <v>Нарьян-Марское МУ ПОКиТС</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6"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6"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91</v>
      </c>
      <c r="E10" s="588" t="s">
        <v>92</v>
      </c>
      <c r="F10" s="588" t="s">
        <v>111</v>
      </c>
      <c r="G10" s="2198" t="s">
        <v>91</v>
      </c>
      <c r="H10" s="2199"/>
      <c r="I10" s="588" t="s">
        <v>92</v>
      </c>
      <c r="J10" s="588" t="s">
        <v>111</v>
      </c>
      <c r="K10" s="2198" t="s">
        <v>91</v>
      </c>
      <c r="L10" s="2199"/>
      <c r="M10" s="588" t="s">
        <v>92</v>
      </c>
      <c r="N10" s="1692"/>
      <c r="AM10" s="648">
        <v>23</v>
      </c>
    </row>
    <row s="6339" customFormat="1" customHeight="1" ht="11.25" hidden="1">
      <c r="A11" s="658"/>
      <c r="B11" s="658"/>
      <c r="C11" s="658"/>
      <c r="D11" s="659" t="s">
        <v>112</v>
      </c>
      <c r="E11" s="659" t="s">
        <v>113</v>
      </c>
      <c r="F11" s="659" t="s">
        <v>93</v>
      </c>
      <c r="G11" s="2180" t="s">
        <v>94</v>
      </c>
      <c r="H11" s="2181"/>
      <c r="I11" s="659" t="s">
        <v>114</v>
      </c>
      <c r="J11" s="659" t="s">
        <v>95</v>
      </c>
      <c r="K11" s="2182" t="s">
        <v>96</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6339" customFormat="1" customHeight="1" ht="15.75">
      <c r="A13" s="358"/>
      <c r="B13" s="358"/>
      <c r="C13" s="591"/>
      <c r="D13" s="2173" t="s">
        <v>112</v>
      </c>
      <c r="E13" s="2174"/>
      <c r="F13" s="2177" t="s">
        <v>64</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6339"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6339"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B790C-3D2B-B801-6B74-0.63A5A51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6040" width="9.140625" hidden="1" customWidth="1"/>
    <col min="2" max="2" style="5796" width="9.140625" hidden="1" customWidth="1"/>
    <col min="3" max="3" style="5708" width="4.00390625" customWidth="1"/>
    <col min="4" max="4" style="5796" width="6.00390625" customWidth="1"/>
    <col min="5" max="5" style="5796" width="36.00390625" customWidth="1"/>
    <col min="6" max="6" style="5796" width="9.00390625" customWidth="1"/>
    <col min="7" max="7" style="5796" width="25.7109375" hidden="1" customWidth="1"/>
    <col min="8" max="8" style="5796" width="33.7109375" hidden="1" customWidth="1"/>
    <col min="9" max="9" style="5796" width="25.7109375" customWidth="1"/>
    <col min="10" max="10" style="5796" width="33.00390625" customWidth="1"/>
    <col min="11" max="11" style="5745" width="93.00390625" customWidth="1"/>
    <col min="12" max="20" style="5796" width="10.00390625" customWidth="1"/>
    <col min="21" max="21" style="5830" width="10.00390625" customWidth="1"/>
    <col min="22" max="22" style="5796" width="10.57421875" hidden="1"/>
  </cols>
  <sheetData>
    <row s="5745" customFormat="1" customHeight="1" ht="22.5" hidden="1">
      <c r="C1" s="737"/>
      <c r="G1" s="482">
        <v>4</v>
      </c>
      <c r="I1" s="482">
        <v>4</v>
      </c>
      <c r="U1" s="485"/>
      <c r="V1" s="482" t="s">
        <v>14</v>
      </c>
    </row>
    <row s="5745" customFormat="1" customHeight="1" ht="15" hidden="1">
      <c r="C2" s="737"/>
      <c r="U2" s="485"/>
      <c r="V2" s="482">
        <v>0</v>
      </c>
    </row>
    <row customHeight="1" ht="22.5" hidden="1">
      <c r="A3" s="570"/>
      <c r="B3" s="2462"/>
      <c r="C3" s="2463" t="s">
        <v>454</v>
      </c>
      <c r="D3" s="754" t="str">
        <f>B3&amp;".1"</f>
        <v>.1</v>
      </c>
      <c r="E3" s="755" t="s">
        <v>948</v>
      </c>
      <c r="F3" s="756" t="s">
        <v>315</v>
      </c>
      <c r="G3" s="751"/>
      <c r="H3" s="466"/>
      <c r="I3" s="751"/>
      <c r="J3" s="466"/>
      <c r="K3" s="354" t="s">
        <v>949</v>
      </c>
      <c r="V3" s="570">
        <v>0</v>
      </c>
    </row>
    <row customHeight="1" ht="15" hidden="1">
      <c r="A4" s="570"/>
      <c r="B4" s="2462"/>
      <c r="C4" s="2463"/>
      <c r="D4" s="754" t="str">
        <f>B3&amp;".2"</f>
        <v>.2</v>
      </c>
      <c r="E4" s="755" t="s">
        <v>950</v>
      </c>
      <c r="F4" s="756" t="s">
        <v>315</v>
      </c>
      <c r="G4" s="1803" t="s">
        <v>28</v>
      </c>
      <c r="H4" s="466"/>
      <c r="I4" s="1803" t="s">
        <v>28</v>
      </c>
      <c r="J4" s="466"/>
      <c r="K4" s="354" t="s">
        <v>951</v>
      </c>
      <c r="V4" s="570">
        <v>0</v>
      </c>
    </row>
    <row s="5745" customFormat="1" customHeight="1" ht="15" hidden="1">
      <c r="C5" s="737"/>
      <c r="U5" s="485"/>
      <c r="V5" s="482">
        <v>0</v>
      </c>
    </row>
    <row customHeight="1" ht="22.5" hidden="1">
      <c r="A6" s="570"/>
      <c r="B6" s="2462"/>
      <c r="C6" s="2463" t="s">
        <v>454</v>
      </c>
      <c r="D6" s="754" t="str">
        <f>B6&amp;".1"</f>
        <v>.1</v>
      </c>
      <c r="E6" s="755" t="s">
        <v>952</v>
      </c>
      <c r="F6" s="756" t="s">
        <v>315</v>
      </c>
      <c r="G6" s="751"/>
      <c r="H6" s="466"/>
      <c r="I6" s="751"/>
      <c r="J6" s="466"/>
      <c r="K6" s="354" t="s">
        <v>953</v>
      </c>
      <c r="V6" s="570">
        <v>0</v>
      </c>
    </row>
    <row customHeight="1" ht="15" hidden="1">
      <c r="A7" s="570"/>
      <c r="B7" s="2462"/>
      <c r="C7" s="2463"/>
      <c r="D7" s="754" t="str">
        <f>B6&amp;".2"</f>
        <v>.2</v>
      </c>
      <c r="E7" s="755" t="s">
        <v>950</v>
      </c>
      <c r="F7" s="756" t="s">
        <v>315</v>
      </c>
      <c r="G7" s="1803" t="s">
        <v>28</v>
      </c>
      <c r="H7" s="466"/>
      <c r="I7" s="1803" t="s">
        <v>28</v>
      </c>
      <c r="J7" s="466"/>
      <c r="K7" s="354" t="s">
        <v>951</v>
      </c>
      <c r="V7" s="570">
        <v>0</v>
      </c>
    </row>
    <row s="5745" customFormat="1" customHeight="1" ht="15" hidden="1">
      <c r="C8" s="737"/>
      <c r="U8" s="485"/>
      <c r="V8" s="482">
        <v>0</v>
      </c>
    </row>
    <row customHeight="1" ht="22.5" hidden="1">
      <c r="A9" s="570"/>
      <c r="B9" s="2462"/>
      <c r="C9" s="2463" t="s">
        <v>454</v>
      </c>
      <c r="D9" s="754" t="str">
        <f>B9&amp;".1"</f>
        <v>.1</v>
      </c>
      <c r="E9" s="755" t="s">
        <v>954</v>
      </c>
      <c r="F9" s="756" t="s">
        <v>315</v>
      </c>
      <c r="G9" s="762" t="s">
        <v>28</v>
      </c>
      <c r="H9" s="466" t="s">
        <v>28</v>
      </c>
      <c r="I9" s="762" t="s">
        <v>28</v>
      </c>
      <c r="J9" s="466" t="s">
        <v>28</v>
      </c>
      <c r="K9" s="354"/>
      <c r="V9" s="570">
        <v>0</v>
      </c>
    </row>
    <row customHeight="1" ht="15" hidden="1">
      <c r="A10" s="570"/>
      <c r="B10" s="2462"/>
      <c r="C10" s="2463"/>
      <c r="D10" s="754" t="str">
        <f>B9&amp;".2"</f>
        <v>.2</v>
      </c>
      <c r="E10" s="755" t="s">
        <v>955</v>
      </c>
      <c r="F10" s="756" t="s">
        <v>315</v>
      </c>
      <c r="G10" s="1797" t="s">
        <v>28</v>
      </c>
      <c r="H10" s="466" t="s">
        <v>28</v>
      </c>
      <c r="I10" s="1797" t="s">
        <v>28</v>
      </c>
      <c r="J10" s="466" t="s">
        <v>28</v>
      </c>
      <c r="K10" s="354" t="s">
        <v>956</v>
      </c>
      <c r="V10" s="570">
        <v>0</v>
      </c>
    </row>
    <row customHeight="1" ht="15" hidden="1">
      <c r="A11" s="570"/>
      <c r="B11" s="2462"/>
      <c r="C11" s="2463"/>
      <c r="D11" s="754" t="str">
        <f>B9&amp;".3"</f>
        <v>.3</v>
      </c>
      <c r="E11" s="755" t="s">
        <v>957</v>
      </c>
      <c r="F11" s="756" t="s">
        <v>315</v>
      </c>
      <c r="G11" s="1797" t="s">
        <v>28</v>
      </c>
      <c r="H11" s="466" t="s">
        <v>28</v>
      </c>
      <c r="I11" s="1797" t="s">
        <v>28</v>
      </c>
      <c r="J11" s="466" t="s">
        <v>28</v>
      </c>
      <c r="K11" s="354" t="s">
        <v>958</v>
      </c>
      <c r="V11" s="570">
        <v>0</v>
      </c>
    </row>
    <row s="5745" customFormat="1" customHeight="1" ht="15" hidden="1">
      <c r="C12" s="737"/>
      <c r="U12" s="485"/>
      <c r="V12" s="482">
        <v>0</v>
      </c>
    </row>
    <row customHeight="1" ht="33.75" hidden="1">
      <c r="A13" s="570"/>
      <c r="B13" s="2462"/>
      <c r="C13" s="2463" t="s">
        <v>454</v>
      </c>
      <c r="D13" s="754" t="str">
        <f>B13&amp;".1"</f>
        <v>.1</v>
      </c>
      <c r="E13" s="755" t="s">
        <v>959</v>
      </c>
      <c r="F13" s="756" t="s">
        <v>315</v>
      </c>
      <c r="G13" s="762" t="s">
        <v>28</v>
      </c>
      <c r="H13" s="466" t="s">
        <v>28</v>
      </c>
      <c r="I13" s="762" t="s">
        <v>28</v>
      </c>
      <c r="J13" s="466" t="s">
        <v>28</v>
      </c>
      <c r="K13" s="354" t="s">
        <v>960</v>
      </c>
      <c r="V13" s="570">
        <v>0</v>
      </c>
    </row>
    <row customHeight="1" ht="15" hidden="1">
      <c r="B14" s="2462"/>
      <c r="C14" s="2463"/>
      <c r="D14" s="754" t="str">
        <f>B13&amp;".2"</f>
        <v>.2</v>
      </c>
      <c r="E14" s="755" t="s">
        <v>961</v>
      </c>
      <c r="F14" s="756" t="s">
        <v>315</v>
      </c>
      <c r="G14" s="1797" t="s">
        <v>28</v>
      </c>
      <c r="H14" s="466" t="s">
        <v>28</v>
      </c>
      <c r="I14" s="1797" t="s">
        <v>28</v>
      </c>
      <c r="J14" s="466" t="s">
        <v>28</v>
      </c>
      <c r="K14" s="354" t="s">
        <v>962</v>
      </c>
      <c r="V14" s="570">
        <v>0</v>
      </c>
    </row>
    <row s="5745" customFormat="1" customHeight="1" ht="15" hidden="1">
      <c r="C15" s="737"/>
      <c r="U15" s="485"/>
      <c r="V15" s="482">
        <v>0</v>
      </c>
    </row>
    <row s="5745" customFormat="1" customHeight="1" ht="15" hidden="1">
      <c r="C16" s="737"/>
      <c r="U16" s="485"/>
      <c r="V16" s="482">
        <v>0</v>
      </c>
    </row>
    <row s="5745" customFormat="1" customHeight="1" ht="15" hidden="1">
      <c r="C17" s="737"/>
      <c r="U17" s="485"/>
      <c r="V17" s="482">
        <v>0</v>
      </c>
    </row>
    <row s="5745" customFormat="1" customHeight="1" ht="15" hidden="1">
      <c r="C18" s="737"/>
      <c r="U18" s="485"/>
      <c r="V18" s="482">
        <v>0</v>
      </c>
    </row>
    <row s="5745" customFormat="1" customHeight="1" ht="15" hidden="1">
      <c r="C19" s="737"/>
      <c r="U19" s="485"/>
      <c r="V19" s="482">
        <v>0</v>
      </c>
    </row>
    <row s="5745"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Нарьян-Марское МУ ПОКиТС</v>
      </c>
      <c r="E23" s="2241"/>
      <c r="F23" s="2241"/>
      <c r="G23" s="2241"/>
      <c r="H23" s="2241"/>
      <c r="I23" s="2241"/>
      <c r="J23" s="741"/>
      <c r="K23" s="602"/>
      <c r="V23" s="570">
        <v>15</v>
      </c>
    </row>
    <row customHeight="1" ht="15.75">
      <c r="C24" s="241"/>
      <c r="D24" s="574"/>
      <c r="E24" s="574"/>
      <c r="F24" s="574"/>
      <c r="G24" s="602">
        <v>22</v>
      </c>
      <c r="H24" s="817"/>
      <c r="I24" s="602">
        <v>22</v>
      </c>
      <c r="J24" s="817"/>
      <c r="V24" s="570">
        <v>15</v>
      </c>
    </row>
    <row s="5796"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310</v>
      </c>
      <c r="V26" s="570">
        <v>15</v>
      </c>
    </row>
    <row s="5796" customFormat="1" customHeight="1" ht="15.75">
      <c r="A27" s="824"/>
      <c r="C27" s="241"/>
      <c r="D27" s="776"/>
      <c r="E27" s="2432" t="s">
        <v>577</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5796" customFormat="1" customHeight="1" ht="15.75">
      <c r="A28" s="824"/>
      <c r="C28" s="241"/>
      <c r="D28" s="776"/>
      <c r="E28" s="2432" t="s">
        <v>578</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5796" customFormat="1" customHeight="1" ht="15.75">
      <c r="A29" s="824"/>
      <c r="C29" s="241"/>
      <c r="D29" s="2434" t="s">
        <v>309</v>
      </c>
      <c r="E29" s="2435"/>
      <c r="F29" s="2435"/>
      <c r="G29" s="952"/>
      <c r="H29" s="952"/>
      <c r="I29" s="952"/>
      <c r="J29" s="953"/>
      <c r="K29" s="2260"/>
      <c r="U29" s="740"/>
      <c r="V29" s="823">
        <v>15</v>
      </c>
    </row>
    <row customHeight="1" ht="35.699999999999996">
      <c r="C30" s="241"/>
      <c r="D30" s="826" t="s">
        <v>91</v>
      </c>
      <c r="E30" s="825" t="s">
        <v>311</v>
      </c>
      <c r="F30" s="825" t="s">
        <v>579</v>
      </c>
      <c r="G30" s="873" t="s">
        <v>312</v>
      </c>
      <c r="H30" s="872" t="s">
        <v>399</v>
      </c>
      <c r="I30" s="749" t="s">
        <v>312</v>
      </c>
      <c r="J30" s="530" t="s">
        <v>399</v>
      </c>
      <c r="K30" s="2266"/>
      <c r="V30" s="570">
        <v>34</v>
      </c>
    </row>
    <row customHeight="1" ht="15" hidden="1">
      <c r="C31" s="241"/>
      <c r="D31" s="658"/>
      <c r="E31" s="658"/>
      <c r="F31" s="658"/>
      <c r="G31" s="724"/>
      <c r="H31" s="724"/>
      <c r="I31" s="724"/>
      <c r="J31" s="724"/>
      <c r="K31" s="354"/>
      <c r="V31" s="570">
        <v>0</v>
      </c>
    </row>
    <row customHeight="1" ht="24">
      <c r="A32" s="570"/>
      <c r="B32" s="570" t="s">
        <v>963</v>
      </c>
      <c r="C32" s="591"/>
      <c r="D32" s="757">
        <v>1</v>
      </c>
      <c r="E32" s="758" t="s">
        <v>964</v>
      </c>
      <c r="F32" s="756" t="s">
        <v>315</v>
      </c>
      <c r="G32" s="878" t="s">
        <v>315</v>
      </c>
      <c r="H32" s="878" t="s">
        <v>315</v>
      </c>
      <c r="I32" s="756" t="s">
        <v>315</v>
      </c>
      <c r="J32" s="756" t="s">
        <v>315</v>
      </c>
      <c r="K32" s="354"/>
      <c r="V32" s="570">
        <v>23</v>
      </c>
    </row>
    <row customHeight="1" ht="11.549999999999999">
      <c r="A33" s="570"/>
      <c r="C33" s="570"/>
      <c r="D33" s="412"/>
      <c r="E33" s="645" t="s">
        <v>599</v>
      </c>
      <c r="F33" s="637"/>
      <c r="G33" s="637"/>
      <c r="H33" s="637"/>
      <c r="I33" s="637"/>
      <c r="J33" s="637"/>
      <c r="K33" s="638"/>
      <c r="U33" s="570"/>
      <c r="V33" s="570">
        <v>11</v>
      </c>
    </row>
    <row customHeight="1" ht="24">
      <c r="A34" s="570"/>
      <c r="B34" s="646" t="s">
        <v>649</v>
      </c>
      <c r="C34" s="591"/>
      <c r="D34" s="757">
        <v>2</v>
      </c>
      <c r="E34" s="758" t="s">
        <v>965</v>
      </c>
      <c r="F34" s="885" t="s">
        <v>315</v>
      </c>
      <c r="G34" s="885" t="s">
        <v>315</v>
      </c>
      <c r="H34" s="885" t="s">
        <v>315</v>
      </c>
      <c r="I34" s="756"/>
      <c r="J34" s="756"/>
      <c r="K34" s="354"/>
      <c r="V34" s="570">
        <v>23</v>
      </c>
    </row>
    <row customHeight="1" ht="11.549999999999999">
      <c r="A35" s="570"/>
      <c r="C35" s="570"/>
      <c r="D35" s="412"/>
      <c r="E35" s="645" t="s">
        <v>966</v>
      </c>
      <c r="F35" s="637"/>
      <c r="G35" s="759"/>
      <c r="H35" s="637"/>
      <c r="I35" s="759"/>
      <c r="J35" s="637"/>
      <c r="K35" s="638"/>
      <c r="U35" s="570"/>
      <c r="V35" s="570">
        <v>11</v>
      </c>
    </row>
    <row customHeight="1" ht="71.25">
      <c r="A36" s="570"/>
      <c r="B36" s="570" t="s">
        <v>967</v>
      </c>
      <c r="C36" s="591"/>
      <c r="D36" s="757">
        <v>3</v>
      </c>
      <c r="E36" s="758" t="s">
        <v>968</v>
      </c>
      <c r="F36" s="760" t="s">
        <v>315</v>
      </c>
      <c r="G36" s="879" t="s">
        <v>969</v>
      </c>
      <c r="H36" s="878" t="s">
        <v>315</v>
      </c>
      <c r="I36" s="589" t="s">
        <v>969</v>
      </c>
      <c r="J36" s="756" t="s">
        <v>315</v>
      </c>
      <c r="K36" s="354" t="s">
        <v>970</v>
      </c>
      <c r="V36" s="570">
        <v>68</v>
      </c>
    </row>
    <row customHeight="1" ht="11.549999999999999">
      <c r="A37" s="570"/>
      <c r="C37" s="570"/>
      <c r="D37" s="412"/>
      <c r="E37" s="645" t="s">
        <v>971</v>
      </c>
      <c r="F37" s="637"/>
      <c r="G37" s="759"/>
      <c r="H37" s="759"/>
      <c r="I37" s="759"/>
      <c r="J37" s="759"/>
      <c r="K37" s="638"/>
      <c r="U37" s="570"/>
      <c r="V37" s="570">
        <v>11</v>
      </c>
    </row>
    <row customHeight="1" ht="71.25">
      <c r="A38" s="570"/>
      <c r="B38" s="570" t="s">
        <v>972</v>
      </c>
      <c r="C38" s="591"/>
      <c r="D38" s="757">
        <v>4</v>
      </c>
      <c r="E38" s="758" t="s">
        <v>973</v>
      </c>
      <c r="F38" s="760" t="s">
        <v>315</v>
      </c>
      <c r="G38" s="879" t="s">
        <v>969</v>
      </c>
      <c r="H38" s="880" t="s">
        <v>315</v>
      </c>
      <c r="I38" s="589" t="s">
        <v>969</v>
      </c>
      <c r="J38" s="586" t="s">
        <v>315</v>
      </c>
      <c r="K38" s="744" t="s">
        <v>974</v>
      </c>
      <c r="V38" s="570">
        <v>68</v>
      </c>
    </row>
    <row customHeight="1" ht="11.549999999999999">
      <c r="A39" s="570"/>
      <c r="C39" s="570"/>
      <c r="D39" s="412"/>
      <c r="E39" s="645" t="s">
        <v>975</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13DD6-B1AB-E8C8-ED56-0.E3CF6C6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5540" width="6.7109375" hidden="1" customWidth="1"/>
    <col min="4" max="4" style="5745" width="6.7109375" hidden="1" customWidth="1"/>
    <col min="5" max="5" style="5796" width="3.00390625" customWidth="1"/>
    <col min="6" max="6" style="5796" width="6.00390625" customWidth="1"/>
    <col min="7" max="7" style="5796" width="37.00390625" customWidth="1"/>
    <col min="8" max="8" style="5796" width="16.00390625" customWidth="1"/>
    <col min="9" max="10" style="5796" width="19.00390625" customWidth="1"/>
    <col min="11" max="11" style="5796" width="24.00390625" customWidth="1"/>
    <col min="12" max="13" style="5796" width="25.00390625" customWidth="1"/>
    <col min="14" max="16" style="5796" width="17.00390625" customWidth="1"/>
    <col min="17" max="24" style="5796" width="19.00390625" customWidth="1"/>
    <col min="25" max="25" style="5796" width="7.00390625" customWidth="1"/>
    <col min="26" max="26" style="5796" width="3.00390625" customWidth="1"/>
    <col min="27" max="27" style="5796" width="6.00390625" customWidth="1"/>
    <col min="28" max="28" style="5796" width="34.00390625" customWidth="1"/>
    <col min="29" max="30" style="5796" width="8.00390625" customWidth="1"/>
    <col min="31" max="31" style="5796" width="9.140625" hidden="1"/>
  </cols>
  <sheetData>
    <row s="5745" customFormat="1" customHeight="1" ht="10.5" hidden="1">
      <c r="A1" s="960"/>
      <c r="B1" s="960"/>
      <c r="C1" s="960"/>
      <c r="E1" s="602"/>
      <c r="H1" s="1225"/>
      <c r="AE1" s="482" t="s">
        <v>14</v>
      </c>
    </row>
    <row customHeight="1" ht="10.5" hidden="1">
      <c r="AE2" s="823">
        <v>0</v>
      </c>
    </row>
    <row s="6040" customFormat="1" customHeight="1" ht="10.5" hidden="1">
      <c r="A3" s="960"/>
      <c r="B3" s="960"/>
      <c r="C3" s="960"/>
      <c r="D3" s="482"/>
      <c r="E3" s="427"/>
      <c r="G3" s="1697" t="s">
        <v>976</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5796" customFormat="1" customHeight="1" ht="16.8">
      <c r="A6" s="1231"/>
      <c r="B6" s="1231"/>
      <c r="C6" s="1231"/>
      <c r="D6" s="1225"/>
      <c r="E6" s="1700"/>
      <c r="F6" s="2314" t="str">
        <f>IF(org=0,"Не определено",org)</f>
        <v>Нарьян-Марское МУ ПОКиТС</v>
      </c>
      <c r="G6" s="2314"/>
      <c r="H6" s="2314"/>
      <c r="I6" s="2314"/>
      <c r="J6" s="2314"/>
      <c r="K6" s="2314"/>
      <c r="M6" s="647"/>
      <c r="AB6" s="1213"/>
      <c r="AE6" s="1696">
        <v>16</v>
      </c>
    </row>
    <row customHeight="1" ht="10.5">
      <c r="AE7" s="823">
        <v>10</v>
      </c>
    </row>
    <row customHeight="1" ht="10.5">
      <c r="A8" s="1116"/>
      <c r="B8" s="1116"/>
      <c r="C8" s="1116"/>
      <c r="F8" s="2166" t="s">
        <v>309</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976</v>
      </c>
      <c r="H9" s="2240" t="s">
        <v>977</v>
      </c>
      <c r="I9" s="2192" t="s">
        <v>978</v>
      </c>
      <c r="J9" s="2192" t="s">
        <v>979</v>
      </c>
      <c r="K9" s="2192" t="s">
        <v>980</v>
      </c>
      <c r="L9" s="2192" t="s">
        <v>981</v>
      </c>
      <c r="M9" s="2192" t="s">
        <v>982</v>
      </c>
      <c r="N9" s="2274" t="s">
        <v>983</v>
      </c>
      <c r="O9" s="2274"/>
      <c r="P9" s="2274"/>
      <c r="Q9" s="2464" t="s">
        <v>984</v>
      </c>
      <c r="R9" s="2465"/>
      <c r="S9" s="2465"/>
      <c r="T9" s="2466"/>
      <c r="U9" s="2464" t="s">
        <v>985</v>
      </c>
      <c r="V9" s="2465"/>
      <c r="W9" s="2465"/>
      <c r="X9" s="2466"/>
      <c r="Y9" s="2166" t="s">
        <v>986</v>
      </c>
      <c r="Z9" s="2167"/>
      <c r="AA9" s="2167"/>
      <c r="AB9" s="2168"/>
      <c r="AE9" s="823">
        <v>41</v>
      </c>
    </row>
    <row customHeight="1" ht="43.050000000000004">
      <c r="A10" s="970"/>
      <c r="B10" s="970"/>
      <c r="C10" s="970"/>
      <c r="F10" s="2240"/>
      <c r="G10" s="2240"/>
      <c r="H10" s="2297"/>
      <c r="I10" s="2240"/>
      <c r="J10" s="2240"/>
      <c r="K10" s="2240"/>
      <c r="L10" s="2240"/>
      <c r="M10" s="2240"/>
      <c r="N10" s="968" t="s">
        <v>987</v>
      </c>
      <c r="O10" s="968" t="s">
        <v>988</v>
      </c>
      <c r="P10" s="969" t="s">
        <v>989</v>
      </c>
      <c r="Q10" s="980" t="s">
        <v>92</v>
      </c>
      <c r="R10" s="980" t="s">
        <v>990</v>
      </c>
      <c r="S10" s="980" t="s">
        <v>991</v>
      </c>
      <c r="T10" s="981" t="s">
        <v>992</v>
      </c>
      <c r="U10" s="980" t="s">
        <v>92</v>
      </c>
      <c r="V10" s="980" t="s">
        <v>993</v>
      </c>
      <c r="W10" s="980" t="s">
        <v>991</v>
      </c>
      <c r="X10" s="981" t="s">
        <v>992</v>
      </c>
      <c r="Y10" s="366" t="s">
        <v>994</v>
      </c>
      <c r="Z10" s="2166" t="s">
        <v>91</v>
      </c>
      <c r="AA10" s="2168"/>
      <c r="AB10" s="1114" t="s">
        <v>995</v>
      </c>
      <c r="AE10" s="823">
        <v>41</v>
      </c>
    </row>
    <row s="5305" customFormat="1" customHeight="1" ht="5.25" hidden="1">
      <c r="A11" s="1117"/>
      <c r="B11" s="1117"/>
      <c r="C11" s="1117"/>
      <c r="E11" s="1115"/>
      <c r="F11" s="2471" t="s">
        <v>385</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996</v>
      </c>
      <c r="AE11" s="576">
        <v>0</v>
      </c>
    </row>
    <row s="5305"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997</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5305"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9399F-BE95-E0E5-9AEB-0.4A4D2F6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5540" width="4.140625" hidden="1" customWidth="1"/>
    <col min="4" max="4" style="5745" width="4.140625" hidden="1" customWidth="1"/>
    <col min="5" max="5" style="5796" width="3.00390625" customWidth="1"/>
    <col min="6" max="6" style="5796" width="14.00390625" customWidth="1"/>
    <col min="7" max="7" style="5796" width="3.00390625" customWidth="1"/>
    <col min="8" max="8" style="5796" width="7.00390625" customWidth="1"/>
    <col min="9" max="10" style="5796" width="16.00390625" customWidth="1"/>
    <col min="11" max="11" style="5796" width="25.00390625" customWidth="1"/>
    <col min="12" max="12" style="5796" width="7.00390625" customWidth="1"/>
    <col min="13" max="13" style="5796" width="15.00390625" customWidth="1"/>
    <col min="14" max="14" style="5796" width="3.00390625" customWidth="1"/>
    <col min="15" max="15" style="5796" width="4.00390625" customWidth="1"/>
    <col min="16" max="16" style="5796" width="8.00390625" customWidth="1"/>
    <col min="17" max="17" style="5796" width="21.00390625" customWidth="1"/>
    <col min="18" max="18" style="5796" width="14.00390625" customWidth="1"/>
    <col min="19" max="20" style="5796" width="17.00390625" customWidth="1"/>
    <col min="21" max="21" style="5796" width="9.00390625" customWidth="1"/>
    <col min="22" max="22" style="5796" width="12.00390625" customWidth="1"/>
    <col min="23" max="23" style="5796" width="9.00390625" customWidth="1"/>
    <col min="24" max="24" style="5796" width="21.00390625" customWidth="1"/>
    <col min="25" max="25" style="5796" width="12.00390625" customWidth="1"/>
    <col min="26" max="26" style="5796" width="3.00390625" customWidth="1"/>
    <col min="27" max="27" style="5796" width="6.00390625" customWidth="1"/>
    <col min="28" max="28" style="5796" width="38.00390625" customWidth="1"/>
    <col min="29" max="29" style="5796" width="15.00390625" customWidth="1"/>
    <col min="30" max="30" style="5796" width="37.57421875" hidden="1" customWidth="1"/>
    <col min="31" max="31" style="5796" width="15.7109375" hidden="1" customWidth="1"/>
    <col min="32" max="34" style="5796" width="16.00390625" customWidth="1"/>
    <col min="35" max="37" style="5796" width="16.7109375" hidden="1" customWidth="1"/>
    <col min="38" max="58" style="5796" width="8.00390625" customWidth="1"/>
    <col min="59" max="59" style="5796" width="9.140625" hidden="1"/>
  </cols>
  <sheetData>
    <row s="5745" customFormat="1" customHeight="1" ht="10.5" hidden="1">
      <c r="A1" s="960"/>
      <c r="B1" s="960"/>
      <c r="C1" s="960"/>
      <c r="E1" s="602"/>
      <c r="H1" s="1225"/>
      <c r="L1" s="1193"/>
      <c r="M1" s="1193"/>
      <c r="AD1" s="1193"/>
      <c r="AH1" s="1212"/>
      <c r="AI1" s="1205"/>
      <c r="BG1" s="482" t="s">
        <v>14</v>
      </c>
    </row>
    <row customHeight="1" ht="10.5" hidden="1">
      <c r="BG2" s="823">
        <v>0</v>
      </c>
    </row>
    <row s="6040"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Нарьян-Марское МУ ПОКиТС</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309</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998</v>
      </c>
      <c r="G9" s="2474" t="s">
        <v>999</v>
      </c>
      <c r="H9" s="2475"/>
      <c r="I9" s="2192" t="s">
        <v>1000</v>
      </c>
      <c r="J9" s="2192"/>
      <c r="K9" s="2192" t="s">
        <v>1001</v>
      </c>
      <c r="L9" s="2192"/>
      <c r="M9" s="2192"/>
      <c r="N9" s="2192"/>
      <c r="O9" s="2192"/>
      <c r="P9" s="2192"/>
      <c r="Q9" s="2192"/>
      <c r="R9" s="2192"/>
      <c r="S9" s="2192"/>
      <c r="T9" s="2192"/>
      <c r="U9" s="2192"/>
      <c r="V9" s="2192"/>
      <c r="W9" s="2192"/>
      <c r="X9" s="2192"/>
      <c r="Y9" s="2192"/>
      <c r="Z9" s="2257" t="s">
        <v>1002</v>
      </c>
      <c r="AA9" s="2258"/>
      <c r="AB9" s="2192" t="s">
        <v>1003</v>
      </c>
      <c r="AC9" s="2192"/>
      <c r="AD9" s="2192"/>
      <c r="AE9" s="2192"/>
      <c r="AF9" s="2240" t="s">
        <v>1004</v>
      </c>
      <c r="AG9" s="2192" t="s">
        <v>1005</v>
      </c>
      <c r="AH9" s="2192"/>
      <c r="AI9" s="2240" t="s">
        <v>1006</v>
      </c>
      <c r="AJ9" s="2192" t="s">
        <v>1007</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1008</v>
      </c>
      <c r="L10" s="2166" t="s">
        <v>1009</v>
      </c>
      <c r="M10" s="2168"/>
      <c r="N10" s="2192" t="s">
        <v>1010</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5796" customFormat="1" customHeight="1" ht="25.2">
      <c r="A11" s="1194"/>
      <c r="B11" s="1194"/>
      <c r="C11" s="1194"/>
      <c r="D11" s="1193"/>
      <c r="E11" s="1195"/>
      <c r="F11" s="2473"/>
      <c r="G11" s="2476"/>
      <c r="H11" s="2477"/>
      <c r="I11" s="2192"/>
      <c r="J11" s="2192"/>
      <c r="K11" s="2192"/>
      <c r="L11" s="2240" t="s">
        <v>1011</v>
      </c>
      <c r="M11" s="2240" t="s">
        <v>1012</v>
      </c>
      <c r="N11" s="2192" t="s">
        <v>1013</v>
      </c>
      <c r="O11" s="2192"/>
      <c r="P11" s="2483" t="s">
        <v>994</v>
      </c>
      <c r="Q11" s="2483" t="s">
        <v>1014</v>
      </c>
      <c r="R11" s="2483" t="s">
        <v>1015</v>
      </c>
      <c r="S11" s="2483" t="s">
        <v>1016</v>
      </c>
      <c r="T11" s="2483"/>
      <c r="U11" s="2483"/>
      <c r="V11" s="2483"/>
      <c r="W11" s="2483"/>
      <c r="X11" s="2483"/>
      <c r="Y11" s="2483"/>
      <c r="Z11" s="2259"/>
      <c r="AA11" s="2260"/>
      <c r="AB11" s="2192" t="s">
        <v>1017</v>
      </c>
      <c r="AC11" s="2192"/>
      <c r="AD11" s="2166" t="s">
        <v>1018</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1019</v>
      </c>
      <c r="K12" s="2192"/>
      <c r="L12" s="2297"/>
      <c r="M12" s="2297"/>
      <c r="N12" s="2192"/>
      <c r="O12" s="2192"/>
      <c r="P12" s="2483"/>
      <c r="Q12" s="2483"/>
      <c r="R12" s="2483"/>
      <c r="S12" s="1199" t="s">
        <v>89</v>
      </c>
      <c r="T12" s="1199" t="s">
        <v>90</v>
      </c>
      <c r="U12" s="1199" t="s">
        <v>88</v>
      </c>
      <c r="V12" s="1199" t="s">
        <v>1020</v>
      </c>
      <c r="W12" s="1199" t="s">
        <v>88</v>
      </c>
      <c r="X12" s="1199" t="s">
        <v>1021</v>
      </c>
      <c r="Y12" s="1199" t="s">
        <v>1022</v>
      </c>
      <c r="Z12" s="2265"/>
      <c r="AA12" s="2266"/>
      <c r="AB12" s="1206" t="s">
        <v>1023</v>
      </c>
      <c r="AC12" s="1206" t="s">
        <v>1024</v>
      </c>
      <c r="AD12" s="1206" t="s">
        <v>1023</v>
      </c>
      <c r="AE12" s="1206" t="s">
        <v>1024</v>
      </c>
      <c r="AF12" s="2297"/>
      <c r="AG12" s="1219" t="s">
        <v>1025</v>
      </c>
      <c r="AH12" s="1219" t="s">
        <v>1026</v>
      </c>
      <c r="AI12" s="2297"/>
      <c r="AJ12" s="1219" t="s">
        <v>1025</v>
      </c>
      <c r="AK12" s="1219" t="s">
        <v>1026</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1027</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1596E-8326-4C81-4042-0.0E6B8E0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5540" width="4.140625" hidden="1" customWidth="1"/>
    <col min="4" max="4" style="5745" width="4.140625" hidden="1" customWidth="1"/>
    <col min="5" max="5" style="5796" width="3.00390625" customWidth="1"/>
    <col min="6" max="6" style="5796" width="6.00390625" customWidth="1"/>
    <col min="7" max="7" style="5796" width="60.00390625" customWidth="1"/>
    <col min="8" max="9" style="5796" width="21.7109375" hidden="1" customWidth="1"/>
    <col min="10" max="10" style="5796" width="0.140625" customWidth="1"/>
    <col min="11" max="11" style="5796" width="1.00390625" customWidth="1"/>
    <col min="12" max="22" style="5796" width="8.00390625" customWidth="1"/>
    <col min="23" max="23" style="5796" width="9.140625" hidden="1"/>
  </cols>
  <sheetData>
    <row s="5745" customFormat="1" customHeight="1" ht="10.5" hidden="1">
      <c r="A1" s="1231"/>
      <c r="B1" s="1231"/>
      <c r="C1" s="1231"/>
      <c r="E1" s="602"/>
      <c r="W1" s="1225" t="s">
        <v>14</v>
      </c>
    </row>
    <row customHeight="1" ht="10.5" hidden="1">
      <c r="W2" s="1220">
        <v>0</v>
      </c>
    </row>
    <row s="6040"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Нарьян-Марское МУ ПОКиТС</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5305"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309</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1028</v>
      </c>
      <c r="H10" s="2491" t="s">
        <v>1029</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1030</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1031</v>
      </c>
      <c r="G14" s="2486" t="s">
        <v>1032</v>
      </c>
      <c r="H14" s="2486"/>
      <c r="I14" s="2486"/>
      <c r="J14" s="2486"/>
      <c r="K14" s="1299"/>
      <c r="W14" s="1220">
        <v>11</v>
      </c>
    </row>
    <row customHeight="1" ht="11.549999999999999">
      <c r="F15" s="1295">
        <v>1</v>
      </c>
      <c r="G15" s="755" t="s">
        <v>1033</v>
      </c>
      <c r="H15" s="1301">
        <f>SUM(I15:J15)</f>
        <v>0</v>
      </c>
      <c r="I15" s="1301">
        <f>SUM(I16:I27)</f>
        <v>0</v>
      </c>
      <c r="J15" s="1290"/>
      <c r="K15" s="1299"/>
      <c r="W15" s="1220">
        <v>11</v>
      </c>
    </row>
    <row customHeight="1" ht="24">
      <c r="F16" s="1295" t="s">
        <v>1034</v>
      </c>
      <c r="G16" s="1302" t="s">
        <v>1035</v>
      </c>
      <c r="H16" s="1301">
        <f>SUM(I16:J16)</f>
        <v>0</v>
      </c>
      <c r="I16" s="1300"/>
      <c r="J16" s="1290"/>
      <c r="K16" s="1299"/>
      <c r="W16" s="1220">
        <v>23</v>
      </c>
    </row>
    <row customHeight="1" ht="24">
      <c r="F17" s="1295" t="s">
        <v>1036</v>
      </c>
      <c r="G17" s="1302" t="s">
        <v>1037</v>
      </c>
      <c r="H17" s="1301">
        <f>SUM(I17:J17)</f>
        <v>0</v>
      </c>
      <c r="I17" s="1300"/>
      <c r="J17" s="1290"/>
      <c r="K17" s="1299"/>
      <c r="W17" s="1220">
        <v>23</v>
      </c>
    </row>
    <row customHeight="1" ht="35.699999999999996">
      <c r="F18" s="1295" t="s">
        <v>1038</v>
      </c>
      <c r="G18" s="1302" t="s">
        <v>1039</v>
      </c>
      <c r="H18" s="1301">
        <f>SUM(I18:J18)</f>
        <v>0</v>
      </c>
      <c r="I18" s="1300"/>
      <c r="J18" s="1290"/>
      <c r="K18" s="1299"/>
      <c r="W18" s="1220">
        <v>34</v>
      </c>
    </row>
    <row customHeight="1" ht="35.699999999999996">
      <c r="F19" s="1295" t="s">
        <v>1040</v>
      </c>
      <c r="G19" s="1302" t="s">
        <v>1041</v>
      </c>
      <c r="H19" s="1301">
        <f>SUM(I19:J19)</f>
        <v>0</v>
      </c>
      <c r="I19" s="1300"/>
      <c r="J19" s="1290"/>
      <c r="K19" s="1299"/>
      <c r="W19" s="1220">
        <v>34</v>
      </c>
    </row>
    <row customHeight="1" ht="48.29999999999999">
      <c r="F20" s="1295" t="s">
        <v>1042</v>
      </c>
      <c r="G20" s="1302" t="s">
        <v>1043</v>
      </c>
      <c r="H20" s="1301">
        <f>SUM(I20:J20)</f>
        <v>0</v>
      </c>
      <c r="I20" s="1300"/>
      <c r="J20" s="1290"/>
      <c r="K20" s="1299"/>
      <c r="W20" s="1220">
        <v>46</v>
      </c>
    </row>
    <row customHeight="1" ht="35.699999999999996">
      <c r="F21" s="1295" t="s">
        <v>1044</v>
      </c>
      <c r="G21" s="1302" t="s">
        <v>1045</v>
      </c>
      <c r="H21" s="1301">
        <f>SUM(I21:J21)</f>
        <v>0</v>
      </c>
      <c r="I21" s="1300"/>
      <c r="J21" s="1290"/>
      <c r="K21" s="1299"/>
      <c r="W21" s="1220">
        <v>34</v>
      </c>
    </row>
    <row customHeight="1" ht="35.699999999999996">
      <c r="F22" s="1295" t="s">
        <v>1046</v>
      </c>
      <c r="G22" s="1302" t="s">
        <v>1047</v>
      </c>
      <c r="H22" s="1301">
        <f>SUM(I22:J22)</f>
        <v>0</v>
      </c>
      <c r="I22" s="1300"/>
      <c r="J22" s="1290"/>
      <c r="K22" s="1299"/>
      <c r="W22" s="1220">
        <v>34</v>
      </c>
    </row>
    <row customHeight="1" ht="24">
      <c r="F23" s="1295" t="s">
        <v>1048</v>
      </c>
      <c r="G23" s="1302" t="s">
        <v>1049</v>
      </c>
      <c r="H23" s="1301">
        <f>SUM(I23:J23)</f>
        <v>0</v>
      </c>
      <c r="I23" s="1300"/>
      <c r="J23" s="1290"/>
      <c r="K23" s="1299"/>
      <c r="W23" s="1220">
        <v>23</v>
      </c>
    </row>
    <row customHeight="1" ht="24">
      <c r="F24" s="1295" t="s">
        <v>1050</v>
      </c>
      <c r="G24" s="1302" t="s">
        <v>1051</v>
      </c>
      <c r="H24" s="1301">
        <f>SUM(I24:J24)</f>
        <v>0</v>
      </c>
      <c r="I24" s="1300"/>
      <c r="J24" s="1290"/>
      <c r="K24" s="1299"/>
      <c r="W24" s="1220">
        <v>23</v>
      </c>
    </row>
    <row customHeight="1" ht="35.699999999999996">
      <c r="F25" s="1295" t="s">
        <v>1052</v>
      </c>
      <c r="G25" s="1302" t="s">
        <v>1053</v>
      </c>
      <c r="H25" s="1301">
        <f>SUM(I25:J25)</f>
        <v>0</v>
      </c>
      <c r="I25" s="1300"/>
      <c r="J25" s="1290"/>
      <c r="K25" s="1299"/>
      <c r="W25" s="1220">
        <v>34</v>
      </c>
    </row>
    <row customHeight="1" ht="35.699999999999996">
      <c r="F26" s="1295" t="s">
        <v>1054</v>
      </c>
      <c r="G26" s="1302" t="s">
        <v>1055</v>
      </c>
      <c r="H26" s="1301">
        <f>SUM(I26:J26)</f>
        <v>0</v>
      </c>
      <c r="I26" s="1300"/>
      <c r="J26" s="1290"/>
      <c r="K26" s="1299"/>
      <c r="W26" s="1220">
        <v>34</v>
      </c>
    </row>
    <row customHeight="1" ht="11.549999999999999">
      <c r="F27" s="1295" t="s">
        <v>1056</v>
      </c>
      <c r="G27" s="1302" t="s">
        <v>1057</v>
      </c>
      <c r="H27" s="1301">
        <f>SUM(I27:J27)</f>
        <v>0</v>
      </c>
      <c r="I27" s="1300"/>
      <c r="J27" s="1290"/>
      <c r="K27" s="1299"/>
      <c r="W27" s="1220">
        <v>11</v>
      </c>
    </row>
    <row customHeight="1" ht="11.549999999999999">
      <c r="F28" s="1295">
        <v>2</v>
      </c>
      <c r="G28" s="755" t="s">
        <v>1058</v>
      </c>
      <c r="H28" s="1301">
        <f>SUM(I28:J28)</f>
        <v>0</v>
      </c>
      <c r="I28" s="1301">
        <f>SUM(I29:I31)</f>
        <v>0</v>
      </c>
      <c r="J28" s="1290"/>
      <c r="K28" s="1299"/>
      <c r="W28" s="1220">
        <v>11</v>
      </c>
    </row>
    <row customHeight="1" ht="11.549999999999999">
      <c r="F29" s="1295" t="s">
        <v>721</v>
      </c>
      <c r="G29" s="1302" t="s">
        <v>1059</v>
      </c>
      <c r="H29" s="1301">
        <f>SUM(I29:J29)</f>
        <v>0</v>
      </c>
      <c r="I29" s="1300"/>
      <c r="J29" s="1290"/>
      <c r="K29" s="1299"/>
      <c r="W29" s="1220">
        <v>11</v>
      </c>
    </row>
    <row customHeight="1" ht="11.549999999999999">
      <c r="F30" s="1295" t="s">
        <v>316</v>
      </c>
      <c r="G30" s="1302" t="s">
        <v>1060</v>
      </c>
      <c r="H30" s="1301">
        <f>SUM(I30:J30)</f>
        <v>0</v>
      </c>
      <c r="I30" s="1300"/>
      <c r="J30" s="1290"/>
      <c r="K30" s="1299"/>
      <c r="W30" s="1220">
        <v>11</v>
      </c>
    </row>
    <row customHeight="1" ht="11.549999999999999">
      <c r="F31" s="1295" t="s">
        <v>319</v>
      </c>
      <c r="G31" s="1302" t="s">
        <v>1061</v>
      </c>
      <c r="H31" s="1301">
        <f>SUM(I31:J31)</f>
        <v>0</v>
      </c>
      <c r="I31" s="1300"/>
      <c r="J31" s="1290"/>
      <c r="K31" s="1299"/>
      <c r="W31" s="1220">
        <v>11</v>
      </c>
    </row>
    <row customHeight="1" ht="11.549999999999999">
      <c r="F32" s="1295">
        <v>3</v>
      </c>
      <c r="G32" s="755" t="s">
        <v>1062</v>
      </c>
      <c r="H32" s="1301">
        <f>SUM(I32:J32)</f>
        <v>0</v>
      </c>
      <c r="I32" s="1301">
        <f>SUM(I33:I34)</f>
        <v>0</v>
      </c>
      <c r="J32" s="1290"/>
      <c r="K32" s="1299"/>
      <c r="W32" s="1220">
        <v>11</v>
      </c>
    </row>
    <row customHeight="1" ht="48.29999999999999">
      <c r="F33" s="1295" t="s">
        <v>333</v>
      </c>
      <c r="G33" s="1302" t="s">
        <v>1063</v>
      </c>
      <c r="H33" s="1301">
        <f>SUM(I33:J33)</f>
        <v>0</v>
      </c>
      <c r="I33" s="1300"/>
      <c r="J33" s="1290"/>
      <c r="K33" s="1299"/>
      <c r="W33" s="1220">
        <v>46</v>
      </c>
    </row>
    <row customHeight="1" ht="11.549999999999999">
      <c r="F34" s="1295" t="s">
        <v>341</v>
      </c>
      <c r="G34" s="1302" t="s">
        <v>1064</v>
      </c>
      <c r="H34" s="1301">
        <f>SUM(I34:J34)</f>
        <v>0</v>
      </c>
      <c r="I34" s="1300"/>
      <c r="J34" s="1290"/>
      <c r="K34" s="1299"/>
      <c r="W34" s="1220">
        <v>11</v>
      </c>
    </row>
    <row customHeight="1" ht="11.549999999999999">
      <c r="F35" s="1295">
        <v>4</v>
      </c>
      <c r="G35" s="755" t="s">
        <v>1065</v>
      </c>
      <c r="H35" s="1301">
        <f>SUM(I35:J35)</f>
        <v>0</v>
      </c>
      <c r="I35" s="1300"/>
      <c r="J35" s="1290"/>
      <c r="K35" s="1299"/>
      <c r="W35" s="1220">
        <v>11</v>
      </c>
    </row>
    <row customHeight="1" ht="11.549999999999999">
      <c r="F36" s="1295"/>
      <c r="G36" s="758" t="s">
        <v>1066</v>
      </c>
      <c r="H36" s="1301">
        <f>SUM(I36:J36)</f>
        <v>0</v>
      </c>
      <c r="I36" s="1301">
        <f>SUM(I15,I28,I32,I35)</f>
        <v>0</v>
      </c>
      <c r="J36" s="1290"/>
      <c r="K36" s="1299"/>
      <c r="W36" s="1220">
        <v>11</v>
      </c>
    </row>
    <row customHeight="1" ht="29.25">
      <c r="F37" s="1296" t="s">
        <v>1067</v>
      </c>
      <c r="G37" s="2487" t="s">
        <v>1068</v>
      </c>
      <c r="H37" s="2487"/>
      <c r="I37" s="2487"/>
      <c r="J37" s="2487"/>
      <c r="K37" s="1299"/>
      <c r="W37" s="1220">
        <v>28</v>
      </c>
    </row>
    <row customHeight="1" ht="24">
      <c r="F38" s="1295" t="s">
        <v>112</v>
      </c>
      <c r="G38" s="755" t="s">
        <v>1069</v>
      </c>
      <c r="H38" s="1301">
        <f>SUM(I38:J38)</f>
        <v>0</v>
      </c>
      <c r="I38" s="1301">
        <f>SUM(I39,I44,I47)</f>
        <v>0</v>
      </c>
      <c r="J38" s="1290"/>
      <c r="K38" s="1299"/>
      <c r="W38" s="1220">
        <v>23</v>
      </c>
    </row>
    <row customHeight="1" ht="11.549999999999999">
      <c r="F39" s="1295" t="s">
        <v>1034</v>
      </c>
      <c r="G39" s="1302" t="s">
        <v>1033</v>
      </c>
      <c r="H39" s="1301">
        <f>SUM(I39:J39)</f>
        <v>0</v>
      </c>
      <c r="I39" s="1301">
        <f>SUM(I40:I43)</f>
        <v>0</v>
      </c>
      <c r="J39" s="1290"/>
      <c r="K39" s="1299"/>
      <c r="W39" s="1220">
        <v>11</v>
      </c>
    </row>
    <row customHeight="1" ht="24">
      <c r="F40" s="1295" t="s">
        <v>1070</v>
      </c>
      <c r="G40" s="1303" t="s">
        <v>1071</v>
      </c>
      <c r="H40" s="1301">
        <f>SUM(I40:J40)</f>
        <v>0</v>
      </c>
      <c r="I40" s="1300"/>
      <c r="J40" s="1290"/>
      <c r="K40" s="1299"/>
      <c r="W40" s="1220">
        <v>23</v>
      </c>
    </row>
    <row customHeight="1" ht="11.549999999999999">
      <c r="F41" s="1295" t="s">
        <v>1072</v>
      </c>
      <c r="G41" s="1303" t="s">
        <v>1073</v>
      </c>
      <c r="H41" s="1301">
        <f>SUM(I41:J41)</f>
        <v>0</v>
      </c>
      <c r="I41" s="1300"/>
      <c r="J41" s="1290"/>
      <c r="K41" s="1299"/>
      <c r="W41" s="1220">
        <v>11</v>
      </c>
    </row>
    <row customHeight="1" ht="11.549999999999999">
      <c r="F42" s="1295" t="s">
        <v>1074</v>
      </c>
      <c r="G42" s="1303" t="s">
        <v>1075</v>
      </c>
      <c r="H42" s="1301">
        <f>SUM(I42:J42)</f>
        <v>0</v>
      </c>
      <c r="I42" s="1300"/>
      <c r="J42" s="1290"/>
      <c r="K42" s="1299"/>
      <c r="W42" s="1220">
        <v>11</v>
      </c>
    </row>
    <row customHeight="1" ht="35.699999999999996">
      <c r="F43" s="1295" t="s">
        <v>1076</v>
      </c>
      <c r="G43" s="1303" t="s">
        <v>1077</v>
      </c>
      <c r="H43" s="1301">
        <f>SUM(I43:J43)</f>
        <v>0</v>
      </c>
      <c r="I43" s="1300"/>
      <c r="J43" s="1290"/>
      <c r="K43" s="1299"/>
      <c r="W43" s="1220">
        <v>34</v>
      </c>
    </row>
    <row customHeight="1" ht="11.549999999999999">
      <c r="F44" s="1295" t="s">
        <v>1036</v>
      </c>
      <c r="G44" s="1302" t="s">
        <v>1062</v>
      </c>
      <c r="H44" s="1301">
        <f>SUM(I44:J44)</f>
        <v>0</v>
      </c>
      <c r="I44" s="1301">
        <f>SUM(I45:I46)</f>
        <v>0</v>
      </c>
      <c r="J44" s="1290"/>
      <c r="K44" s="1299"/>
      <c r="W44" s="1220">
        <v>11</v>
      </c>
    </row>
    <row customHeight="1" ht="48.29999999999999">
      <c r="F45" s="1295" t="s">
        <v>1078</v>
      </c>
      <c r="G45" s="1303" t="s">
        <v>1063</v>
      </c>
      <c r="H45" s="1301">
        <f>SUM(I45:J45)</f>
        <v>0</v>
      </c>
      <c r="I45" s="1300"/>
      <c r="J45" s="1290"/>
      <c r="K45" s="1299"/>
      <c r="W45" s="1220">
        <v>46</v>
      </c>
    </row>
    <row customHeight="1" ht="11.549999999999999">
      <c r="F46" s="1295" t="s">
        <v>1079</v>
      </c>
      <c r="G46" s="1303" t="s">
        <v>1064</v>
      </c>
      <c r="H46" s="1301">
        <f>SUM(I46:J46)</f>
        <v>0</v>
      </c>
      <c r="I46" s="1300"/>
      <c r="J46" s="1290"/>
      <c r="K46" s="1299"/>
      <c r="W46" s="1220">
        <v>11</v>
      </c>
    </row>
    <row customHeight="1" ht="11.549999999999999">
      <c r="F47" s="1295" t="s">
        <v>1038</v>
      </c>
      <c r="G47" s="1302" t="s">
        <v>1080</v>
      </c>
      <c r="H47" s="1301">
        <f>SUM(I47:J47)</f>
        <v>0</v>
      </c>
      <c r="I47" s="1300"/>
      <c r="J47" s="1290"/>
      <c r="K47" s="1299"/>
      <c r="W47" s="1220">
        <v>11</v>
      </c>
    </row>
    <row customHeight="1" ht="24">
      <c r="F48" s="1295" t="s">
        <v>113</v>
      </c>
      <c r="G48" s="755" t="s">
        <v>1081</v>
      </c>
      <c r="H48" s="1301">
        <f>SUM(I48:J48)</f>
        <v>0</v>
      </c>
      <c r="I48" s="1301">
        <f>SUM(I49,I54,I57)</f>
        <v>0</v>
      </c>
      <c r="J48" s="1290"/>
      <c r="K48" s="1299"/>
      <c r="W48" s="1220">
        <v>23</v>
      </c>
    </row>
    <row customHeight="1" ht="11.549999999999999">
      <c r="F49" s="1295" t="s">
        <v>721</v>
      </c>
      <c r="G49" s="1302" t="s">
        <v>1033</v>
      </c>
      <c r="H49" s="1301">
        <f>SUM(I49:J49)</f>
        <v>0</v>
      </c>
      <c r="I49" s="1301">
        <f>SUM(I50:I53)</f>
        <v>0</v>
      </c>
      <c r="J49" s="1290"/>
      <c r="K49" s="1299"/>
      <c r="W49" s="1220">
        <v>11</v>
      </c>
    </row>
    <row customHeight="1" ht="24">
      <c r="F50" s="1295" t="s">
        <v>724</v>
      </c>
      <c r="G50" s="1303" t="s">
        <v>1071</v>
      </c>
      <c r="H50" s="1301">
        <f>SUM(I50:J50)</f>
        <v>0</v>
      </c>
      <c r="I50" s="1300"/>
      <c r="J50" s="1290"/>
      <c r="K50" s="1299"/>
      <c r="W50" s="1220">
        <v>23</v>
      </c>
    </row>
    <row customHeight="1" ht="11.549999999999999">
      <c r="F51" s="1295" t="s">
        <v>727</v>
      </c>
      <c r="G51" s="1303" t="s">
        <v>1073</v>
      </c>
      <c r="H51" s="1301">
        <f>SUM(I51:J51)</f>
        <v>0</v>
      </c>
      <c r="I51" s="1300"/>
      <c r="J51" s="1290"/>
      <c r="K51" s="1299"/>
      <c r="W51" s="1220">
        <v>11</v>
      </c>
    </row>
    <row customHeight="1" ht="11.549999999999999">
      <c r="F52" s="1295" t="s">
        <v>1082</v>
      </c>
      <c r="G52" s="1303" t="s">
        <v>1075</v>
      </c>
      <c r="H52" s="1301">
        <f>SUM(I52:J52)</f>
        <v>0</v>
      </c>
      <c r="I52" s="1300"/>
      <c r="J52" s="1290"/>
      <c r="K52" s="1299"/>
      <c r="W52" s="1220">
        <v>11</v>
      </c>
    </row>
    <row customHeight="1" ht="35.699999999999996">
      <c r="F53" s="1295" t="s">
        <v>1083</v>
      </c>
      <c r="G53" s="1303" t="s">
        <v>1077</v>
      </c>
      <c r="H53" s="1301">
        <f>SUM(I53:J53)</f>
        <v>0</v>
      </c>
      <c r="I53" s="1300"/>
      <c r="J53" s="1290"/>
      <c r="K53" s="1299"/>
      <c r="W53" s="1220">
        <v>34</v>
      </c>
    </row>
    <row customHeight="1" ht="11.549999999999999">
      <c r="F54" s="1295" t="s">
        <v>316</v>
      </c>
      <c r="G54" s="1302" t="s">
        <v>1062</v>
      </c>
      <c r="H54" s="1301">
        <f>SUM(I54:J54)</f>
        <v>0</v>
      </c>
      <c r="I54" s="1301">
        <f>SUM(I55:I56)</f>
        <v>0</v>
      </c>
      <c r="J54" s="1290"/>
      <c r="K54" s="1299"/>
      <c r="W54" s="1220">
        <v>11</v>
      </c>
    </row>
    <row customHeight="1" ht="48.29999999999999">
      <c r="F55" s="1295" t="s">
        <v>731</v>
      </c>
      <c r="G55" s="1303" t="s">
        <v>1063</v>
      </c>
      <c r="H55" s="1301">
        <f>SUM(I55:J55)</f>
        <v>0</v>
      </c>
      <c r="I55" s="1300"/>
      <c r="J55" s="1290"/>
      <c r="K55" s="1299"/>
      <c r="W55" s="1220">
        <v>46</v>
      </c>
    </row>
    <row customHeight="1" ht="11.549999999999999">
      <c r="F56" s="1295" t="s">
        <v>733</v>
      </c>
      <c r="G56" s="1303" t="s">
        <v>1064</v>
      </c>
      <c r="H56" s="1301">
        <f>SUM(I56:J56)</f>
        <v>0</v>
      </c>
      <c r="I56" s="1300"/>
      <c r="J56" s="1290"/>
      <c r="K56" s="1299"/>
      <c r="W56" s="1220">
        <v>11</v>
      </c>
    </row>
    <row customHeight="1" ht="11.549999999999999">
      <c r="F57" s="1295" t="s">
        <v>319</v>
      </c>
      <c r="G57" s="1302" t="s">
        <v>1080</v>
      </c>
      <c r="H57" s="1301">
        <f>SUM(I57:J57)</f>
        <v>0</v>
      </c>
      <c r="I57" s="1300"/>
      <c r="J57" s="1290"/>
      <c r="K57" s="1299"/>
      <c r="W57" s="1220">
        <v>11</v>
      </c>
    </row>
    <row customHeight="1" ht="11.549999999999999">
      <c r="F58" s="1295"/>
      <c r="G58" s="1304" t="s">
        <v>1066</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8524-A0FB-A0AE-3D4B-0.6AA5665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704" width="4.7109375" hidden="1" customWidth="1"/>
    <col min="2" max="2" style="5707" width="4.7109375" hidden="1" customWidth="1"/>
    <col min="3" max="4" style="5704" width="4.7109375" hidden="1" customWidth="1"/>
    <col min="5" max="5" style="5704" width="3.00390625" customWidth="1"/>
    <col min="6" max="6" style="5704" width="6.00390625" customWidth="1"/>
    <col min="7" max="7" style="5704" width="18.00390625" customWidth="1"/>
    <col min="8" max="8" style="5704" width="27.00390625" customWidth="1"/>
    <col min="9" max="9" style="5704" width="18.00390625" customWidth="1"/>
    <col min="10" max="14" style="5704" width="0.8515625" hidden="1" customWidth="1"/>
    <col min="15" max="28" style="5704" width="21.7109375" customWidth="1"/>
    <col min="29" max="71" style="5704" width="0.8515625" customWidth="1"/>
    <col min="72" max="79" style="5704" width="21.7109375" hidden="1" customWidth="1"/>
    <col min="80" max="81" style="5704" width="29.140625" hidden="1" customWidth="1"/>
    <col min="82" max="89" style="5704" width="21.7109375" hidden="1" customWidth="1"/>
    <col min="90" max="102" style="5704" width="0.7109375" hidden="1" customWidth="1"/>
    <col min="103" max="114" style="5704" width="21.7109375" hidden="1" customWidth="1"/>
    <col min="115" max="178" style="5704" width="0.7109375" hidden="1" customWidth="1"/>
    <col min="179" max="179" style="5704" width="0.140625" customWidth="1"/>
    <col min="180" max="184" style="5704" width="8.00390625" customWidth="1"/>
    <col min="185" max="185" style="5704" width="9.140625" hidden="1"/>
  </cols>
  <sheetData>
    <row s="5642" customFormat="1" customHeight="1" ht="12" hidden="1">
      <c r="B1" s="988"/>
      <c r="C1" s="989"/>
      <c r="D1" s="989"/>
      <c r="GC1" s="987" t="s">
        <v>14</v>
      </c>
    </row>
    <row s="5642"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5642"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5648"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6352" customFormat="1" customHeight="1" ht="18.75">
      <c r="B6" s="1008"/>
      <c r="E6" s="1010"/>
      <c r="F6" s="2279" t="str">
        <f>IF(org=0,"Не определено",org)</f>
        <v>Нарьян-Марское МУ ПОКиТС</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5657"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5657" customFormat="1" customHeight="1" ht="11.25" hidden="1">
      <c r="B8" s="999"/>
      <c r="F8" s="1121"/>
      <c r="G8" s="828"/>
      <c r="H8" s="425"/>
      <c r="I8" s="425"/>
      <c r="J8" s="425"/>
      <c r="K8" s="425"/>
      <c r="L8" s="425"/>
      <c r="M8" s="1121"/>
      <c r="N8" s="1121"/>
      <c r="O8" s="2515" t="s">
        <v>1084</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1085</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5657"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5657" customFormat="1" customHeight="1" ht="11.549999999999999">
      <c r="B10" s="999"/>
      <c r="F10" s="2494" t="s">
        <v>309</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1086</v>
      </c>
      <c r="H11" s="2502" t="s">
        <v>1087</v>
      </c>
      <c r="I11" s="2502" t="s">
        <v>1088</v>
      </c>
      <c r="J11" s="2503"/>
      <c r="K11" s="2503"/>
      <c r="L11" s="2503"/>
      <c r="M11" s="2503"/>
      <c r="N11" s="2503"/>
      <c r="O11" s="2274" t="s">
        <v>1089</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1089</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1089</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1090</v>
      </c>
      <c r="P12" s="2274"/>
      <c r="Q12" s="2274"/>
      <c r="R12" s="2274"/>
      <c r="S12" s="2274" t="s">
        <v>1091</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1092</v>
      </c>
      <c r="BU12" s="2452"/>
      <c r="BV12" s="2452"/>
      <c r="BW12" s="2498"/>
      <c r="BX12" s="2451" t="s">
        <v>1093</v>
      </c>
      <c r="BY12" s="2452"/>
      <c r="BZ12" s="2452"/>
      <c r="CA12" s="2498"/>
      <c r="CB12" s="2451" t="s">
        <v>1094</v>
      </c>
      <c r="CC12" s="2498"/>
      <c r="CD12" s="2451" t="s">
        <v>1095</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1096</v>
      </c>
      <c r="CZ12" s="2452"/>
      <c r="DA12" s="2452"/>
      <c r="DB12" s="2452"/>
      <c r="DC12" s="2452"/>
      <c r="DD12" s="2498"/>
      <c r="DE12" s="2451" t="s">
        <v>1097</v>
      </c>
      <c r="DF12" s="2498"/>
      <c r="DG12" s="2451" t="s">
        <v>1095</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1098</v>
      </c>
      <c r="P13" s="2274"/>
      <c r="Q13" s="2274"/>
      <c r="R13" s="2274"/>
      <c r="S13" s="2401" t="s">
        <v>1099</v>
      </c>
      <c r="T13" s="2453"/>
      <c r="U13" s="2192" t="s">
        <v>1100</v>
      </c>
      <c r="V13" s="2192"/>
      <c r="W13" s="2192"/>
      <c r="X13" s="2192"/>
      <c r="Y13" s="2192" t="s">
        <v>1101</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1102</v>
      </c>
      <c r="BU13" s="2453"/>
      <c r="BV13" s="2401" t="s">
        <v>1103</v>
      </c>
      <c r="BW13" s="2453"/>
      <c r="BX13" s="2401" t="s">
        <v>1104</v>
      </c>
      <c r="BY13" s="2453"/>
      <c r="BZ13" s="2401" t="s">
        <v>1105</v>
      </c>
      <c r="CA13" s="2453"/>
      <c r="CB13" s="2401" t="s">
        <v>1106</v>
      </c>
      <c r="CC13" s="2453"/>
      <c r="CD13" s="2401" t="s">
        <v>1107</v>
      </c>
      <c r="CE13" s="2453"/>
      <c r="CF13" s="2401" t="s">
        <v>1108</v>
      </c>
      <c r="CG13" s="2453"/>
      <c r="CH13" s="2451" t="s">
        <v>1109</v>
      </c>
      <c r="CI13" s="2452"/>
      <c r="CJ13" s="2452"/>
      <c r="CK13" s="2498"/>
      <c r="CL13" s="2501"/>
      <c r="CM13" s="2499"/>
      <c r="CN13" s="2499"/>
      <c r="CO13" s="2499"/>
      <c r="CP13" s="2499"/>
      <c r="CQ13" s="2499"/>
      <c r="CR13" s="2499"/>
      <c r="CS13" s="2499"/>
      <c r="CT13" s="2499"/>
      <c r="CU13" s="2499"/>
      <c r="CV13" s="2499"/>
      <c r="CW13" s="2499"/>
      <c r="CX13" s="2518"/>
      <c r="CY13" s="2401" t="s">
        <v>1110</v>
      </c>
      <c r="CZ13" s="2453"/>
      <c r="DA13" s="2401" t="s">
        <v>1111</v>
      </c>
      <c r="DB13" s="2453"/>
      <c r="DC13" s="2401" t="s">
        <v>1112</v>
      </c>
      <c r="DD13" s="2453"/>
      <c r="DE13" s="2401" t="s">
        <v>1113</v>
      </c>
      <c r="DF13" s="2453"/>
      <c r="DG13" s="2451" t="s">
        <v>1114</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1115</v>
      </c>
      <c r="P14" s="2453"/>
      <c r="Q14" s="2401" t="s">
        <v>1116</v>
      </c>
      <c r="R14" s="2453"/>
      <c r="S14" s="2402"/>
      <c r="T14" s="2278"/>
      <c r="U14" s="2401" t="s">
        <v>848</v>
      </c>
      <c r="V14" s="2453"/>
      <c r="W14" s="2401" t="s">
        <v>851</v>
      </c>
      <c r="X14" s="2453"/>
      <c r="Y14" s="2401" t="s">
        <v>848</v>
      </c>
      <c r="Z14" s="2453"/>
      <c r="AA14" s="2401" t="s">
        <v>858</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1117</v>
      </c>
      <c r="CI14" s="2453"/>
      <c r="CJ14" s="2401" t="s">
        <v>1118</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1119</v>
      </c>
      <c r="DH14" s="2453"/>
      <c r="DI14" s="2401" t="s">
        <v>1120</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838</v>
      </c>
      <c r="P16" s="2498"/>
      <c r="Q16" s="2451" t="s">
        <v>840</v>
      </c>
      <c r="R16" s="2498"/>
      <c r="S16" s="2451" t="s">
        <v>844</v>
      </c>
      <c r="T16" s="2498"/>
      <c r="U16" s="2451" t="s">
        <v>849</v>
      </c>
      <c r="V16" s="2498"/>
      <c r="W16" s="2451" t="s">
        <v>852</v>
      </c>
      <c r="X16" s="2498"/>
      <c r="Y16" s="2451" t="s">
        <v>856</v>
      </c>
      <c r="Z16" s="2498"/>
      <c r="AA16" s="2451" t="s">
        <v>859</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571</v>
      </c>
      <c r="BU16" s="2498"/>
      <c r="BV16" s="2451" t="s">
        <v>571</v>
      </c>
      <c r="BW16" s="2498"/>
      <c r="BX16" s="2451" t="s">
        <v>571</v>
      </c>
      <c r="BY16" s="2498"/>
      <c r="BZ16" s="2451" t="s">
        <v>571</v>
      </c>
      <c r="CA16" s="2498"/>
      <c r="CB16" s="2451" t="s">
        <v>1121</v>
      </c>
      <c r="CC16" s="2498"/>
      <c r="CD16" s="2451" t="s">
        <v>571</v>
      </c>
      <c r="CE16" s="2498"/>
      <c r="CF16" s="2451" t="s">
        <v>1122</v>
      </c>
      <c r="CG16" s="2498"/>
      <c r="CH16" s="2451" t="s">
        <v>1123</v>
      </c>
      <c r="CI16" s="2498"/>
      <c r="CJ16" s="2451" t="s">
        <v>1123</v>
      </c>
      <c r="CK16" s="2498"/>
      <c r="CL16" s="2501"/>
      <c r="CM16" s="2499"/>
      <c r="CN16" s="2499"/>
      <c r="CO16" s="2499"/>
      <c r="CP16" s="2499"/>
      <c r="CQ16" s="2499"/>
      <c r="CR16" s="2499"/>
      <c r="CS16" s="2499"/>
      <c r="CT16" s="2499"/>
      <c r="CU16" s="2499"/>
      <c r="CV16" s="2499"/>
      <c r="CW16" s="2499"/>
      <c r="CX16" s="2518"/>
      <c r="CY16" s="2401" t="s">
        <v>571</v>
      </c>
      <c r="CZ16" s="2453"/>
      <c r="DA16" s="2401" t="s">
        <v>571</v>
      </c>
      <c r="DB16" s="2453"/>
      <c r="DC16" s="2401" t="s">
        <v>571</v>
      </c>
      <c r="DD16" s="2453"/>
      <c r="DE16" s="2451" t="s">
        <v>1121</v>
      </c>
      <c r="DF16" s="2498"/>
      <c r="DG16" s="2451" t="s">
        <v>1124</v>
      </c>
      <c r="DH16" s="2498"/>
      <c r="DI16" s="2451" t="s">
        <v>1124</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1125</v>
      </c>
      <c r="P17" s="1256" t="s">
        <v>1126</v>
      </c>
      <c r="Q17" s="1256" t="s">
        <v>1125</v>
      </c>
      <c r="R17" s="1256" t="s">
        <v>1126</v>
      </c>
      <c r="S17" s="1256" t="s">
        <v>1125</v>
      </c>
      <c r="T17" s="1256" t="s">
        <v>1126</v>
      </c>
      <c r="U17" s="1256" t="s">
        <v>1125</v>
      </c>
      <c r="V17" s="1256" t="s">
        <v>1126</v>
      </c>
      <c r="W17" s="1256" t="s">
        <v>1125</v>
      </c>
      <c r="X17" s="1256" t="s">
        <v>1126</v>
      </c>
      <c r="Y17" s="1256" t="s">
        <v>1125</v>
      </c>
      <c r="Z17" s="1256" t="s">
        <v>1126</v>
      </c>
      <c r="AA17" s="1256" t="s">
        <v>1125</v>
      </c>
      <c r="AB17" s="1256" t="s">
        <v>1126</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1125</v>
      </c>
      <c r="BU17" s="1256" t="s">
        <v>1126</v>
      </c>
      <c r="BV17" s="1256" t="s">
        <v>1125</v>
      </c>
      <c r="BW17" s="1256" t="s">
        <v>1126</v>
      </c>
      <c r="BX17" s="1256" t="s">
        <v>1125</v>
      </c>
      <c r="BY17" s="1256" t="s">
        <v>1126</v>
      </c>
      <c r="BZ17" s="1256" t="s">
        <v>1125</v>
      </c>
      <c r="CA17" s="1256" t="s">
        <v>1126</v>
      </c>
      <c r="CB17" s="1256" t="s">
        <v>1125</v>
      </c>
      <c r="CC17" s="1256" t="s">
        <v>1126</v>
      </c>
      <c r="CD17" s="1256" t="s">
        <v>1125</v>
      </c>
      <c r="CE17" s="1256" t="s">
        <v>1126</v>
      </c>
      <c r="CF17" s="1256" t="s">
        <v>1125</v>
      </c>
      <c r="CG17" s="1256" t="s">
        <v>1126</v>
      </c>
      <c r="CH17" s="1256" t="s">
        <v>1125</v>
      </c>
      <c r="CI17" s="1256" t="s">
        <v>1126</v>
      </c>
      <c r="CJ17" s="1256" t="s">
        <v>1125</v>
      </c>
      <c r="CK17" s="1256" t="s">
        <v>1126</v>
      </c>
      <c r="CL17" s="2501"/>
      <c r="CM17" s="2499"/>
      <c r="CN17" s="2499"/>
      <c r="CO17" s="2499"/>
      <c r="CP17" s="2499"/>
      <c r="CQ17" s="2499"/>
      <c r="CR17" s="2499"/>
      <c r="CS17" s="2499"/>
      <c r="CT17" s="2499"/>
      <c r="CU17" s="2499"/>
      <c r="CV17" s="2499"/>
      <c r="CW17" s="2499"/>
      <c r="CX17" s="2518"/>
      <c r="CY17" s="1256" t="s">
        <v>1125</v>
      </c>
      <c r="CZ17" s="1256" t="s">
        <v>1126</v>
      </c>
      <c r="DA17" s="1256" t="s">
        <v>1125</v>
      </c>
      <c r="DB17" s="1256" t="s">
        <v>1126</v>
      </c>
      <c r="DC17" s="1256" t="s">
        <v>1125</v>
      </c>
      <c r="DD17" s="1256" t="s">
        <v>1126</v>
      </c>
      <c r="DE17" s="1256" t="s">
        <v>1125</v>
      </c>
      <c r="DF17" s="1256" t="s">
        <v>1126</v>
      </c>
      <c r="DG17" s="1256" t="s">
        <v>1125</v>
      </c>
      <c r="DH17" s="1256" t="s">
        <v>1126</v>
      </c>
      <c r="DI17" s="1256" t="s">
        <v>1125</v>
      </c>
      <c r="DJ17" s="1256" t="s">
        <v>1126</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5642"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5642"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5642" customFormat="1" customHeight="1" ht="11.25" hidden="1">
      <c r="B20" s="1005"/>
      <c r="D20" s="989"/>
      <c r="E20" s="1004"/>
      <c r="F20" s="1262" t="s">
        <v>385</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5642"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5642" customFormat="1" customHeight="1" ht="12.75">
      <c r="A22" s="1006"/>
      <c r="B22" s="1006"/>
      <c r="C22" s="1006"/>
      <c r="D22" s="1006"/>
      <c r="E22" s="1006"/>
      <c r="FX22" s="1006"/>
      <c r="FY22" s="1006"/>
      <c r="FZ22" s="1006"/>
      <c r="GA22" s="1006"/>
      <c r="GB22" s="1006"/>
      <c r="GC22" s="987">
        <v>12</v>
      </c>
    </row>
    <row s="5704"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352C2-6801-78C6-7D8B-0.7D49067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6040" width="9.140625" hidden="1" customWidth="1"/>
    <col min="2" max="2" style="5796" width="9.140625" hidden="1" customWidth="1"/>
    <col min="3" max="3" style="5708" width="4.00390625" customWidth="1"/>
    <col min="4" max="4" style="5796" width="6.00390625" customWidth="1"/>
    <col min="5" max="5" style="5796" width="36.00390625" customWidth="1"/>
    <col min="6" max="6" style="5796" width="9.00390625" customWidth="1"/>
    <col min="7" max="7" style="5796" width="42.421875" hidden="1" customWidth="1"/>
    <col min="8" max="8" style="5796" width="40.7109375" customWidth="1"/>
    <col min="9" max="9" style="5745" width="93.00390625" customWidth="1"/>
    <col min="10" max="17" style="5796" width="10.00390625" customWidth="1"/>
    <col min="18" max="18" style="5830" width="10.00390625" customWidth="1"/>
    <col min="19" max="19" style="5796" width="10.57421875" hidden="1"/>
  </cols>
  <sheetData>
    <row s="5745" customFormat="1" customHeight="1" ht="15" hidden="1">
      <c r="C1" s="737"/>
      <c r="H1" s="482">
        <v>4</v>
      </c>
      <c r="R1" s="485"/>
      <c r="S1" s="482" t="s">
        <v>14</v>
      </c>
    </row>
    <row customHeight="1" ht="22.5" hidden="1">
      <c r="C2" s="1993" t="s">
        <v>454</v>
      </c>
      <c r="D2" s="604"/>
      <c r="E2" s="728"/>
      <c r="F2" s="1826" t="str">
        <f>IF(TEMPLATE_SPHERE="HEAT","Гкал/час","тыс. куб. м/сутки")</f>
        <v>Гкал/час</v>
      </c>
      <c r="G2" s="745"/>
      <c r="H2" s="745"/>
      <c r="I2" s="354"/>
      <c r="S2" s="570">
        <v>0</v>
      </c>
    </row>
    <row s="5745"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Нарьян-Марское МУ ПОКиТС</v>
      </c>
      <c r="E6" s="2241"/>
      <c r="F6" s="2241"/>
      <c r="G6" s="2241"/>
      <c r="H6" s="2241"/>
      <c r="I6" s="602"/>
      <c r="S6" s="570">
        <v>15</v>
      </c>
    </row>
    <row s="5796"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310</v>
      </c>
      <c r="S9" s="570">
        <v>15</v>
      </c>
    </row>
    <row s="5796" customFormat="1" customHeight="1" ht="15.75">
      <c r="A10" s="824"/>
      <c r="C10" s="241"/>
      <c r="D10" s="776"/>
      <c r="E10" s="2432" t="s">
        <v>577</v>
      </c>
      <c r="F10" s="2433"/>
      <c r="G10" s="881" t="str">
        <f>IF(G8="","",INDEX(DIFFERENTIATION_UNMERGE_AREA,MATCH(G8,DIFFERENTIATION_ID_DIFF,0)))</f>
        <v/>
      </c>
      <c r="H10" s="881" t="str">
        <f>IF(H8="","",INDEX(DIFFERENTIATION_UNMERGE_AREA,MATCH(H8,DIFFERENTIATION_ID_DIFF,0)))</f>
        <v/>
      </c>
      <c r="I10" s="2192"/>
      <c r="R10" s="740"/>
      <c r="S10" s="823">
        <v>15</v>
      </c>
    </row>
    <row s="5796" customFormat="1" customHeight="1" ht="15.75">
      <c r="A11" s="824"/>
      <c r="C11" s="241"/>
      <c r="D11" s="776"/>
      <c r="E11" s="2432" t="s">
        <v>578</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5796" customFormat="1" customHeight="1" ht="15.75">
      <c r="A12" s="824"/>
      <c r="C12" s="241"/>
      <c r="D12" s="2434" t="s">
        <v>309</v>
      </c>
      <c r="E12" s="2435"/>
      <c r="F12" s="2435"/>
      <c r="G12" s="952"/>
      <c r="H12" s="952"/>
      <c r="I12" s="2192"/>
      <c r="R12" s="740"/>
      <c r="S12" s="823">
        <v>15</v>
      </c>
    </row>
    <row customHeight="1" ht="35.699999999999996">
      <c r="C13" s="241"/>
      <c r="D13" s="826" t="s">
        <v>91</v>
      </c>
      <c r="E13" s="825" t="s">
        <v>311</v>
      </c>
      <c r="F13" s="825" t="s">
        <v>579</v>
      </c>
      <c r="G13" s="873" t="s">
        <v>312</v>
      </c>
      <c r="H13" s="819" t="s">
        <v>312</v>
      </c>
      <c r="I13" s="2192"/>
      <c r="S13" s="570">
        <v>34</v>
      </c>
    </row>
    <row customHeight="1" ht="15" hidden="1">
      <c r="C14" s="241"/>
      <c r="D14" s="658" t="s">
        <v>112</v>
      </c>
      <c r="E14" s="658" t="s">
        <v>113</v>
      </c>
      <c r="F14" s="658" t="s">
        <v>93</v>
      </c>
      <c r="G14" s="724" t="str">
        <f>G1&amp;".1"</f>
        <v>.1</v>
      </c>
      <c r="H14" s="724" t="str">
        <f>H1&amp;".1"</f>
        <v>4.1</v>
      </c>
      <c r="I14" s="354"/>
      <c r="S14" s="570">
        <v>0</v>
      </c>
    </row>
    <row customHeight="1" ht="15.75">
      <c r="A15" s="570"/>
      <c r="C15" s="591"/>
      <c r="D15" s="586">
        <v>1</v>
      </c>
      <c r="E15" s="1995" t="str">
        <f>TP_P_A</f>
        <v>Количество поданных заявок</v>
      </c>
      <c r="F15" s="586" t="s">
        <v>1127</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1127</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1127</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315</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1128</v>
      </c>
      <c r="E20" s="753"/>
      <c r="F20" s="574"/>
      <c r="G20" s="574"/>
      <c r="H20" s="574"/>
      <c r="I20" s="1828"/>
      <c r="S20" s="570">
        <v>0</v>
      </c>
    </row>
    <row customHeight="1" ht="29.25">
      <c r="C21" s="516"/>
      <c r="D21" s="604" t="s">
        <v>322</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1129</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EA064-0A63-0D13-8652-0.51F3D10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479" width="9.140625" hidden="1" customWidth="1"/>
    <col min="2" max="2" style="5745" width="9.140625" hidden="1" customWidth="1"/>
    <col min="3" max="3" style="5766" width="3.00390625" customWidth="1"/>
    <col min="4" max="4" style="5796" width="6.00390625" customWidth="1"/>
    <col min="5" max="6" style="5796" width="64.00390625" customWidth="1"/>
    <col min="7" max="7" style="5796" width="140.00390625" customWidth="1"/>
    <col min="8" max="8" style="5796" width="10.00390625" customWidth="1"/>
    <col min="9" max="10" style="5748" width="10.00390625" customWidth="1"/>
    <col min="11" max="16" style="5796" width="10.00390625" customWidth="1"/>
    <col min="17" max="17" style="5796"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5796" customFormat="1" customHeight="1" ht="18.75">
      <c r="A6" s="947"/>
      <c r="B6" s="482"/>
      <c r="C6" s="441"/>
      <c r="D6" s="2522" t="str">
        <f>IF(org=0,"Не определено",org)</f>
        <v>Нарьян-Марское МУ ПОКиТС</v>
      </c>
      <c r="E6" s="2523"/>
      <c r="F6" s="2523"/>
      <c r="G6" s="2524"/>
      <c r="I6" s="565"/>
      <c r="J6" s="565"/>
      <c r="Q6" s="823">
        <v>18</v>
      </c>
    </row>
    <row customHeight="1" ht="14.699999999999998">
      <c r="C7" s="161"/>
      <c r="D7" s="149"/>
      <c r="E7" s="160"/>
      <c r="F7" s="817"/>
      <c r="G7" s="258"/>
      <c r="Q7" s="148">
        <v>14</v>
      </c>
    </row>
    <row s="5796" customFormat="1" customHeight="1" ht="1.05">
      <c r="A8" s="1734"/>
      <c r="B8" s="1225"/>
      <c r="C8" s="441"/>
      <c r="D8" s="428"/>
      <c r="E8" s="454"/>
      <c r="F8" s="817"/>
      <c r="G8" s="258"/>
      <c r="I8" s="1689"/>
      <c r="J8" s="1689"/>
      <c r="Q8" s="1696">
        <v>1</v>
      </c>
    </row>
    <row customHeight="1" ht="14.699999999999998">
      <c r="C9" s="161"/>
      <c r="D9" s="2274" t="s">
        <v>309</v>
      </c>
      <c r="E9" s="2274"/>
      <c r="F9" s="2274"/>
      <c r="G9" s="2454" t="s">
        <v>310</v>
      </c>
      <c r="Q9" s="148">
        <v>14</v>
      </c>
    </row>
    <row customHeight="1" ht="24">
      <c r="C10" s="161"/>
      <c r="D10" s="170" t="s">
        <v>91</v>
      </c>
      <c r="E10" s="173" t="s">
        <v>311</v>
      </c>
      <c r="F10" s="173" t="s">
        <v>399</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315</v>
      </c>
      <c r="G12" s="216"/>
      <c r="Q12" s="148">
        <v>62</v>
      </c>
    </row>
    <row customHeight="1" ht="24">
      <c r="A13" s="257"/>
      <c r="C13" s="161"/>
      <c r="D13" s="212" t="s">
        <v>1034</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315</v>
      </c>
      <c r="G13" s="216"/>
      <c r="Q13" s="148">
        <v>23</v>
      </c>
    </row>
    <row customHeight="1" ht="14.699999999999998">
      <c r="A14" s="257"/>
      <c r="C14" s="161"/>
      <c r="D14" s="212" t="s">
        <v>1070</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1130</v>
      </c>
      <c r="F15" s="266"/>
      <c r="G15" s="2236"/>
      <c r="Q15" s="148">
        <v>15</v>
      </c>
    </row>
    <row customHeight="1" ht="14.699999999999998">
      <c r="A16" s="257"/>
      <c r="C16" s="161"/>
      <c r="D16" s="212" t="s">
        <v>1036</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315</v>
      </c>
      <c r="G16" s="402"/>
      <c r="Q16" s="148">
        <v>14</v>
      </c>
    </row>
    <row customHeight="1" ht="14.699999999999998">
      <c r="A17" s="257"/>
      <c r="C17" s="161"/>
      <c r="D17" s="212" t="s">
        <v>1078</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5796" customFormat="1" customHeight="1" ht="22.049999999999997">
      <c r="A18" s="408"/>
      <c r="B18" s="211"/>
      <c r="C18" s="372"/>
      <c r="D18" s="412"/>
      <c r="E18" s="414" t="s">
        <v>1131</v>
      </c>
      <c r="F18" s="403"/>
      <c r="G18" s="2236"/>
      <c r="I18" s="415"/>
      <c r="J18" s="415"/>
      <c r="Q18" s="407">
        <v>21</v>
      </c>
    </row>
    <row s="5796" customFormat="1" customHeight="1" ht="256.5" hidden="1">
      <c r="A19" s="408"/>
      <c r="B19" s="482"/>
      <c r="C19" s="441"/>
      <c r="D19" s="949" t="s">
        <v>1038</v>
      </c>
      <c r="E19" s="948" t="s">
        <v>1132</v>
      </c>
      <c r="F19" s="450"/>
      <c r="G19" s="402" t="s">
        <v>1133</v>
      </c>
      <c r="I19" s="565"/>
      <c r="J19" s="565"/>
      <c r="Q19" s="823">
        <v>0</v>
      </c>
    </row>
    <row s="5796" customFormat="1" customHeight="1" ht="14.699999999999998">
      <c r="A20" s="408"/>
      <c r="B20" s="211"/>
      <c r="C20" s="372"/>
      <c r="D20" s="950">
        <v>2</v>
      </c>
      <c r="E20" s="395" t="s">
        <v>1134</v>
      </c>
      <c r="F20" s="263" t="s">
        <v>315</v>
      </c>
      <c r="G20" s="402"/>
      <c r="I20" s="415"/>
      <c r="J20" s="415"/>
      <c r="Q20" s="407">
        <v>14</v>
      </c>
    </row>
    <row s="5796" customFormat="1" customHeight="1" ht="18.75" hidden="1">
      <c r="A21" s="408"/>
      <c r="B21" s="211"/>
      <c r="C21" s="372"/>
      <c r="D21" s="398" t="s">
        <v>649</v>
      </c>
      <c r="E21" s="397"/>
      <c r="F21" s="396"/>
      <c r="G21" s="406"/>
      <c r="H21" s="399"/>
      <c r="I21" s="415"/>
      <c r="J21" s="415"/>
      <c r="Q21" s="407">
        <v>0</v>
      </c>
    </row>
    <row customHeight="1" ht="15.75">
      <c r="A22" s="257"/>
      <c r="C22" s="161"/>
      <c r="D22" s="174"/>
      <c r="E22" s="268" t="s">
        <v>331</v>
      </c>
      <c r="F22" s="403"/>
      <c r="G22" s="404"/>
      <c r="Q22" s="148">
        <v>15</v>
      </c>
    </row>
    <row s="5796" customFormat="1" customHeight="1" ht="22.5" hidden="1">
      <c r="A23" s="408"/>
      <c r="B23" s="1225"/>
      <c r="C23" s="441"/>
      <c r="D23" s="1738" t="s">
        <v>113</v>
      </c>
      <c r="E23" s="262" t="s">
        <v>1135</v>
      </c>
      <c r="F23" s="1735" t="s">
        <v>315</v>
      </c>
      <c r="G23" s="410"/>
      <c r="I23" s="1689"/>
      <c r="J23" s="1689"/>
      <c r="Q23" s="1696">
        <v>0</v>
      </c>
    </row>
    <row s="5796" customFormat="1" customHeight="1" ht="14.25" hidden="1">
      <c r="A24" s="408"/>
      <c r="B24" s="1225"/>
      <c r="C24" s="441"/>
      <c r="D24" s="1738" t="s">
        <v>721</v>
      </c>
      <c r="E24" s="1737" t="s">
        <v>1136</v>
      </c>
      <c r="F24" s="1735" t="s">
        <v>315</v>
      </c>
      <c r="G24" s="402"/>
      <c r="I24" s="1689"/>
      <c r="J24" s="1689"/>
      <c r="Q24" s="1696">
        <v>0</v>
      </c>
    </row>
    <row s="5796" customFormat="1" customHeight="1" ht="14.25" hidden="1">
      <c r="A25" s="408"/>
      <c r="B25" s="1225"/>
      <c r="C25" s="441"/>
      <c r="D25" s="1738" t="s">
        <v>724</v>
      </c>
      <c r="E25" s="260"/>
      <c r="F25" s="450"/>
      <c r="G25" s="2234" t="s">
        <v>1137</v>
      </c>
      <c r="I25" s="1689"/>
      <c r="J25" s="1689"/>
      <c r="Q25" s="1696">
        <v>0</v>
      </c>
    </row>
    <row s="5796" customFormat="1" customHeight="1" ht="22.5" hidden="1">
      <c r="A26" s="408"/>
      <c r="B26" s="1225"/>
      <c r="C26" s="441"/>
      <c r="D26" s="412"/>
      <c r="E26" s="414" t="s">
        <v>1138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F2D57-D702-C8AF-1F34-0.D2C1E5A8}" mc:Ignorable="x14ac xr xr2 xr3">
  <sheetPr>
    <tabColor theme="6" tint="0.4"/>
  </sheetPr>
  <dimension ref="A1:M43"/>
  <sheetViews>
    <sheetView topLeftCell="A1" showGridLines="0" zoomScale="90" workbookViewId="0">
      <selection activeCell="J28" sqref="J28"/>
    </sheetView>
  </sheetViews>
  <sheetFormatPr defaultColWidth="10.57421875" customHeight="1" defaultRowHeight="14.25"/>
  <cols>
    <col min="1" max="1" style="4989" width="9.140625" hidden="1" customWidth="1"/>
    <col min="2" max="2" style="5745" width="9.140625" hidden="1" customWidth="1"/>
    <col min="3" max="3" style="5766" width="3.00390625" customWidth="1"/>
    <col min="4" max="4" style="5796" width="6.00390625" customWidth="1"/>
    <col min="5" max="5" style="5796" width="63.00390625" customWidth="1"/>
    <col min="6" max="6" style="5796" width="1.7109375" hidden="1" customWidth="1"/>
    <col min="7" max="8" style="5796" width="35.00390625" customWidth="1"/>
    <col min="9" max="9" style="5796" width="91.00390625" customWidth="1"/>
    <col min="10" max="10" style="5796" width="68.00390625" customWidth="1"/>
    <col min="11" max="12" style="5748" width="10.00390625" customWidth="1"/>
    <col min="13" max="13" style="5796" width="10.57421875" hidden="1"/>
  </cols>
  <sheetData>
    <row customHeight="1" ht="22.5" hidden="1">
      <c r="M1" s="148" t="s">
        <v>14</v>
      </c>
    </row>
    <row s="5796" customFormat="1" customHeight="1" ht="18.75" hidden="1">
      <c r="A2" s="1748"/>
      <c r="B2" s="1225"/>
      <c r="C2" s="1795" t="s">
        <v>454</v>
      </c>
      <c r="D2" s="1738"/>
      <c r="E2" s="264"/>
      <c r="F2" s="1735"/>
      <c r="G2" s="1735" t="s">
        <v>315</v>
      </c>
      <c r="H2" s="1226"/>
      <c r="K2" s="1689"/>
      <c r="L2" s="1689"/>
      <c r="M2" s="1696">
        <v>0</v>
      </c>
    </row>
    <row s="5796" customFormat="1" customHeight="1" ht="14.25" hidden="1">
      <c r="A3" s="1427"/>
      <c r="B3" s="1225"/>
      <c r="C3" s="409"/>
      <c r="K3" s="1689"/>
      <c r="L3" s="1689"/>
      <c r="M3" s="1696">
        <v>0</v>
      </c>
    </row>
    <row s="5796" customFormat="1" customHeight="1" ht="18.75" hidden="1">
      <c r="A4" s="1748"/>
      <c r="B4" s="1225"/>
      <c r="C4" s="1795" t="s">
        <v>454</v>
      </c>
      <c r="D4" s="1738"/>
      <c r="E4" s="270" t="s">
        <v>1139</v>
      </c>
      <c r="F4" s="1735"/>
      <c r="G4" s="322"/>
      <c r="H4" s="1735" t="s">
        <v>315</v>
      </c>
      <c r="K4" s="1689"/>
      <c r="L4" s="1689"/>
      <c r="M4" s="1696">
        <v>0</v>
      </c>
    </row>
    <row s="5796" customFormat="1" customHeight="1" ht="14.25" hidden="1">
      <c r="A5" s="1427"/>
      <c r="B5" s="1225"/>
      <c r="C5" s="409"/>
      <c r="K5" s="1689"/>
      <c r="L5" s="1689"/>
      <c r="M5" s="1696">
        <v>0</v>
      </c>
    </row>
    <row s="5796" customFormat="1" customHeight="1" ht="18.75" hidden="1">
      <c r="A6" s="1748"/>
      <c r="B6" s="1225"/>
      <c r="C6" s="1795" t="s">
        <v>454</v>
      </c>
      <c r="D6" s="1738"/>
      <c r="E6" s="271" t="s">
        <v>1140</v>
      </c>
      <c r="F6" s="1735"/>
      <c r="G6" s="322"/>
      <c r="H6" s="1735" t="s">
        <v>315</v>
      </c>
      <c r="K6" s="1689"/>
      <c r="L6" s="1689"/>
      <c r="M6" s="1696">
        <v>0</v>
      </c>
    </row>
    <row s="5796" customFormat="1" customHeight="1" ht="14.25" hidden="1">
      <c r="A7" s="1427"/>
      <c r="B7" s="1225"/>
      <c r="C7" s="409"/>
      <c r="K7" s="1689"/>
      <c r="L7" s="1689"/>
      <c r="M7" s="1696">
        <v>0</v>
      </c>
    </row>
    <row s="5796" customFormat="1" customHeight="1" ht="18.75" hidden="1">
      <c r="A8" s="1748"/>
      <c r="B8" s="1225"/>
      <c r="C8" s="1795" t="s">
        <v>454</v>
      </c>
      <c r="D8" s="1738"/>
      <c r="E8" s="271" t="s">
        <v>1141</v>
      </c>
      <c r="F8" s="1735"/>
      <c r="G8" s="322"/>
      <c r="H8" s="1735" t="s">
        <v>315</v>
      </c>
      <c r="K8" s="1689"/>
      <c r="L8" s="1689"/>
      <c r="M8" s="1696">
        <v>0</v>
      </c>
    </row>
    <row s="5796" customFormat="1" customHeight="1" ht="14.25" hidden="1">
      <c r="A9" s="1427"/>
      <c r="B9" s="1225"/>
      <c r="C9" s="409"/>
      <c r="K9" s="1689"/>
      <c r="L9" s="1689"/>
      <c r="M9" s="1696">
        <v>0</v>
      </c>
    </row>
    <row s="5796" customFormat="1" customHeight="1" ht="18.75" hidden="1">
      <c r="A10" s="1748"/>
      <c r="B10" s="1225"/>
      <c r="C10" s="1795" t="s">
        <v>454</v>
      </c>
      <c r="D10" s="1738"/>
      <c r="E10" s="271" t="s">
        <v>1142</v>
      </c>
      <c r="F10" s="1735"/>
      <c r="G10" s="1739"/>
      <c r="H10" s="1735" t="s">
        <v>315</v>
      </c>
      <c r="K10" s="1689"/>
      <c r="L10" s="1689" t="s">
        <v>1143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5796" customFormat="1" customHeight="1" ht="14.699999999999998">
      <c r="A15" s="1427"/>
      <c r="B15" s="1225"/>
      <c r="C15" s="441"/>
      <c r="D15" s="2522" t="str">
        <f>IF(org=0,"Не определено",org)</f>
        <v>Нарьян-Марское МУ ПОКиТС</v>
      </c>
      <c r="E15" s="2523"/>
      <c r="F15" s="2523"/>
      <c r="G15" s="2523"/>
      <c r="H15" s="2524"/>
      <c r="J15" s="917"/>
      <c r="K15" s="1689"/>
      <c r="L15" s="1689"/>
      <c r="M15" s="1696">
        <v>14</v>
      </c>
    </row>
    <row customHeight="1" ht="14.699999999999998">
      <c r="C16" s="161"/>
      <c r="D16" s="149"/>
      <c r="E16" s="160"/>
      <c r="F16" s="160"/>
      <c r="G16" s="160"/>
      <c r="H16" s="817"/>
      <c r="I16" s="258"/>
      <c r="M16" s="148">
        <v>14</v>
      </c>
    </row>
    <row s="5796" customFormat="1" customHeight="1" ht="14.25" hidden="1">
      <c r="A17" s="1427"/>
      <c r="B17" s="1225"/>
      <c r="C17" s="441"/>
      <c r="D17" s="428"/>
      <c r="E17" s="454"/>
      <c r="F17" s="454"/>
      <c r="G17" s="454"/>
      <c r="H17" s="817"/>
      <c r="I17" s="258"/>
      <c r="K17" s="1689"/>
      <c r="L17" s="1689"/>
      <c r="M17" s="1696">
        <v>0</v>
      </c>
    </row>
    <row customHeight="1" ht="22.049999999999997">
      <c r="C18" s="161"/>
      <c r="D18" s="2274" t="s">
        <v>309</v>
      </c>
      <c r="E18" s="2274"/>
      <c r="F18" s="2274"/>
      <c r="G18" s="2274"/>
      <c r="H18" s="2274"/>
      <c r="I18" s="2454" t="s">
        <v>310</v>
      </c>
      <c r="M18" s="148">
        <v>21</v>
      </c>
    </row>
    <row customHeight="1" ht="22.049999999999997">
      <c r="C19" s="161"/>
      <c r="D19" s="170" t="s">
        <v>91</v>
      </c>
      <c r="E19" s="173" t="s">
        <v>311</v>
      </c>
      <c r="F19" s="173"/>
      <c r="G19" s="173" t="s">
        <v>312</v>
      </c>
      <c r="H19" s="173" t="s">
        <v>399</v>
      </c>
      <c r="I19" s="2454"/>
      <c r="M19" s="148">
        <v>21</v>
      </c>
    </row>
    <row customHeight="1" ht="12" hidden="1">
      <c r="C20" s="161"/>
      <c r="D20" s="152"/>
      <c r="E20" s="152"/>
      <c r="F20" s="152"/>
      <c r="G20" s="152"/>
      <c r="H20" s="152"/>
      <c r="I20" s="152"/>
      <c r="M20" s="148">
        <v>0</v>
      </c>
    </row>
    <row customHeight="1" ht="14.699999999999998">
      <c r="A21" s="1748"/>
      <c r="C21" s="161"/>
      <c r="D21" s="212">
        <v>1</v>
      </c>
      <c r="E21" s="2526" t="s">
        <v>1144</v>
      </c>
      <c r="F21" s="2526"/>
      <c r="G21" s="2526"/>
      <c r="H21" s="2526"/>
      <c r="I21" s="273"/>
      <c r="M21" s="148">
        <v>14</v>
      </c>
    </row>
    <row customHeight="1" ht="21">
      <c r="A22" s="1748"/>
      <c r="C22" s="161"/>
      <c r="D22" s="212" t="s">
        <v>1034</v>
      </c>
      <c r="E22" s="259" t="s">
        <v>1145</v>
      </c>
      <c r="F22" s="263"/>
      <c r="G22" s="5775">
        <v>46034.54754629629</v>
      </c>
      <c r="H22" s="263" t="s">
        <v>315</v>
      </c>
      <c r="I22" s="216" t="s">
        <v>1146</v>
      </c>
      <c r="M22" s="148">
        <v>20</v>
      </c>
    </row>
    <row customHeight="1" ht="60">
      <c r="A23" s="1748"/>
      <c r="C23" s="161"/>
      <c r="D23" s="212" t="s">
        <v>1036</v>
      </c>
      <c r="E23" s="259" t="s">
        <v>1147</v>
      </c>
      <c r="F23" s="263"/>
      <c r="G23" s="7150" t="s">
        <v>1148</v>
      </c>
      <c r="H23" s="7151" t="s">
        <v>1149</v>
      </c>
      <c r="I23" s="323" t="s">
        <v>1150</v>
      </c>
      <c r="M23" s="148">
        <v>57</v>
      </c>
    </row>
    <row customHeight="1" ht="36">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315</v>
      </c>
      <c r="H24" s="7151" t="s">
        <v>1151</v>
      </c>
      <c r="I24" s="324" t="s">
        <v>644</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5">
      <c r="A26" s="1748"/>
      <c r="C26" s="161"/>
      <c r="D26" s="212" t="s">
        <v>333</v>
      </c>
      <c r="E26" s="264" t="s">
        <v>1152</v>
      </c>
      <c r="F26" s="263"/>
      <c r="G26" s="263" t="s">
        <v>315</v>
      </c>
      <c r="H26" s="7151" t="s">
        <v>1151</v>
      </c>
      <c r="I26" s="2234" t="s">
        <v>1153</v>
      </c>
      <c r="M26" s="148">
        <v>14</v>
      </c>
    </row>
    <row customHeight="1" ht="15.75">
      <c r="A27" s="1748" t="s">
        <v>112</v>
      </c>
      <c r="C27" s="161"/>
      <c r="D27" s="174"/>
      <c r="E27" s="268" t="s">
        <v>331</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766</v>
      </c>
      <c r="E29" s="270" t="s">
        <v>1139</v>
      </c>
      <c r="F29" s="263"/>
      <c r="G29" s="322" t="s">
        <v>1154</v>
      </c>
      <c r="H29" s="263" t="s">
        <v>315</v>
      </c>
      <c r="I29" s="2234" t="s">
        <v>1155</v>
      </c>
      <c r="M29" s="148">
        <v>20</v>
      </c>
    </row>
    <row customHeight="1" ht="15.75">
      <c r="A30" s="1748" t="s">
        <v>113</v>
      </c>
      <c r="C30" s="161"/>
      <c r="D30" s="174"/>
      <c r="E30" s="268" t="s">
        <v>331</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322</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5">
      <c r="A33" s="1748"/>
      <c r="C33" s="161"/>
      <c r="D33" s="212" t="s">
        <v>1156</v>
      </c>
      <c r="E33" s="271" t="s">
        <v>1140</v>
      </c>
      <c r="F33" s="263"/>
      <c r="G33" s="322" t="s">
        <v>1157</v>
      </c>
      <c r="H33" s="263" t="s">
        <v>315</v>
      </c>
      <c r="I33" s="2234" t="s">
        <v>1158</v>
      </c>
      <c r="M33" s="148">
        <v>14</v>
      </c>
    </row>
    <row customHeight="1" ht="15.75">
      <c r="A34" s="1748" t="s">
        <v>93</v>
      </c>
      <c r="C34" s="161"/>
      <c r="D34" s="174"/>
      <c r="E34" s="269" t="s">
        <v>331</v>
      </c>
      <c r="F34" s="265"/>
      <c r="G34" s="265"/>
      <c r="H34" s="266"/>
      <c r="I34" s="2236"/>
      <c r="M34" s="148">
        <v>15</v>
      </c>
    </row>
    <row customHeight="1" ht="25.2">
      <c r="A35" s="1748"/>
      <c r="C35" s="161"/>
      <c r="D35" s="212" t="s">
        <v>894</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28.5">
      <c r="A36" s="1748"/>
      <c r="C36" s="161"/>
      <c r="D36" s="212" t="s">
        <v>1159</v>
      </c>
      <c r="E36" s="271" t="s">
        <v>1141</v>
      </c>
      <c r="F36" s="263"/>
      <c r="G36" s="322" t="s">
        <v>1160</v>
      </c>
      <c r="H36" s="263" t="s">
        <v>315</v>
      </c>
      <c r="I36" s="2208" t="s">
        <v>1161</v>
      </c>
      <c r="M36" s="148">
        <v>14</v>
      </c>
    </row>
    <row customHeight="1" ht="15.75">
      <c r="A37" s="1748" t="s">
        <v>94</v>
      </c>
      <c r="C37" s="161"/>
      <c r="D37" s="174"/>
      <c r="E37" s="269" t="s">
        <v>331</v>
      </c>
      <c r="F37" s="265"/>
      <c r="G37" s="265"/>
      <c r="H37" s="266"/>
      <c r="I37" s="2208"/>
      <c r="M37" s="148">
        <v>15</v>
      </c>
    </row>
    <row customHeight="1" ht="27.299999999999997">
      <c r="A38" s="1748"/>
      <c r="C38" s="161"/>
      <c r="D38" s="212" t="s">
        <v>895</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5">
      <c r="A39" s="1748"/>
      <c r="C39" s="161"/>
      <c r="D39" s="212" t="s">
        <v>896</v>
      </c>
      <c r="E39" s="271" t="s">
        <v>1142</v>
      </c>
      <c r="F39" s="263"/>
      <c r="G39" s="272" t="s">
        <v>1162</v>
      </c>
      <c r="H39" s="263" t="s">
        <v>315</v>
      </c>
      <c r="I39" s="2234" t="s">
        <v>1163</v>
      </c>
      <c r="L39" s="220" t="s">
        <v>1143</v>
      </c>
      <c r="M39" s="148">
        <v>14</v>
      </c>
    </row>
    <row customHeight="1" ht="15.75">
      <c r="A40" s="1748" t="s">
        <v>114</v>
      </c>
      <c r="C40" s="161"/>
      <c r="D40" s="174"/>
      <c r="E40" s="269" t="s">
        <v>331</v>
      </c>
      <c r="F40" s="265"/>
      <c r="G40" s="265"/>
      <c r="H40" s="266"/>
      <c r="I40" s="2236"/>
      <c r="M40" s="148">
        <v>15</v>
      </c>
    </row>
    <row s="6258" customFormat="1" customHeight="1" ht="3">
      <c r="A41" s="1748"/>
      <c r="K41" s="261"/>
      <c r="L41" s="261"/>
      <c r="M41" s="205">
        <v>3</v>
      </c>
    </row>
    <row customHeight="1" ht="26.25">
      <c r="D42" s="1746" t="s">
        <v>816</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85</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6BBA3D5D-EB95-6725-95B6-0.471F9C58}"/>
    <hyperlink ref="H23" r:id="rId3" xr:uid="{B80DAA16-3C37-243A-50D8-0.1F86B1F2}"/>
    <hyperlink ref="H24" r:id="rId4" xr:uid="{73707B8B-DFE2-05CC-54EF-0.580F1F1F}"/>
    <hyperlink ref="H26" r:id="rId5" xr:uid="{8909F703-B324-D909-FC17-0.79E5A72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2B5CB-97B7-C034-2299-0.A27F118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787" width="25.140625" hidden="1" customWidth="1"/>
    <col min="3" max="3" style="5764" width="9.140625" hidden="1" customWidth="1"/>
    <col min="4" max="4" style="5766" width="3.00390625" customWidth="1"/>
    <col min="5" max="5" style="5796" width="6.00390625" customWidth="1"/>
    <col min="6" max="6" style="5796" width="46.7109375" customWidth="1"/>
    <col min="7" max="7" style="5796" width="35.00390625" customWidth="1"/>
    <col min="8" max="8" style="5796" width="3.00390625" customWidth="1"/>
    <col min="9" max="10" style="5796" width="11.00390625" customWidth="1"/>
    <col min="11" max="12" style="5796" width="35.00390625" customWidth="1"/>
    <col min="13" max="13" style="5796" width="84.00390625" customWidth="1"/>
    <col min="14" max="14" style="5796" width="10.00390625" customWidth="1"/>
    <col min="15" max="16" style="5748" width="10.00390625" customWidth="1"/>
    <col min="17" max="33" style="5796" width="10.00390625" customWidth="1"/>
    <col min="34" max="34" style="5796" width="10.57421875" hidden="1"/>
  </cols>
  <sheetData>
    <row s="5796"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5796"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315</v>
      </c>
      <c r="M2" s="1940"/>
      <c r="N2" s="399"/>
      <c r="O2" s="1689"/>
      <c r="P2" s="1689"/>
      <c r="AH2" s="1696">
        <v>0</v>
      </c>
    </row>
    <row s="5796" customFormat="1" customHeight="1" ht="18.75" hidden="1">
      <c r="A3" s="1845"/>
      <c r="B3" s="1845"/>
      <c r="C3" s="434" t="s">
        <v>1164</v>
      </c>
      <c r="D3" s="409"/>
      <c r="E3" s="1096"/>
      <c r="F3" s="1096"/>
      <c r="G3" s="2492"/>
      <c r="H3" s="1565"/>
      <c r="I3" s="716" t="s">
        <v>1165</v>
      </c>
      <c r="J3" s="636"/>
      <c r="K3" s="1565"/>
      <c r="L3" s="279"/>
      <c r="M3" s="1940"/>
      <c r="N3" s="399"/>
      <c r="O3" s="1689"/>
      <c r="P3" s="1689"/>
      <c r="AH3" s="1696">
        <v>0</v>
      </c>
    </row>
    <row s="5796"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5796"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315</v>
      </c>
      <c r="M5" s="1940"/>
      <c r="N5" s="399"/>
      <c r="O5" s="1689"/>
      <c r="P5" s="1689"/>
      <c r="AH5" s="1696">
        <v>0</v>
      </c>
    </row>
    <row s="5796" customFormat="1" customHeight="1" ht="18.75" hidden="1">
      <c r="A6" s="1845"/>
      <c r="B6" s="1845"/>
      <c r="C6" s="434" t="s">
        <v>1166</v>
      </c>
      <c r="D6" s="409"/>
      <c r="E6" s="1096"/>
      <c r="F6" s="1096"/>
      <c r="G6" s="2492"/>
      <c r="H6" s="1565"/>
      <c r="I6" s="716" t="s">
        <v>1165</v>
      </c>
      <c r="J6" s="636"/>
      <c r="K6" s="1565"/>
      <c r="L6" s="279"/>
      <c r="M6" s="1940"/>
      <c r="N6" s="399"/>
      <c r="O6" s="1689"/>
      <c r="P6" s="1689"/>
      <c r="AH6" s="1696">
        <v>0</v>
      </c>
    </row>
    <row s="5796"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5796" customFormat="1" customHeight="1" ht="56.25" hidden="1">
      <c r="A8" s="1845"/>
      <c r="B8" s="1845"/>
      <c r="C8" s="434"/>
      <c r="D8" s="409"/>
      <c r="E8" s="1096"/>
      <c r="F8" s="1096"/>
      <c r="G8" s="1096"/>
      <c r="H8" s="1836"/>
      <c r="I8" s="1804"/>
      <c r="J8" s="1838"/>
      <c r="K8" s="1930"/>
      <c r="L8" s="1836" t="s">
        <v>315</v>
      </c>
      <c r="M8" s="1940"/>
      <c r="N8" s="399"/>
      <c r="O8" s="1689"/>
      <c r="P8" s="1689"/>
      <c r="AH8" s="1696">
        <v>0</v>
      </c>
    </row>
    <row customHeight="1" ht="14.25" hidden="1">
      <c r="T9" s="462"/>
      <c r="AG9" s="320"/>
      <c r="AH9" s="439">
        <v>0</v>
      </c>
    </row>
    <row s="5796" customFormat="1" customHeight="1" ht="56.25" hidden="1">
      <c r="A10" s="1845"/>
      <c r="B10" s="1845"/>
      <c r="C10" s="434"/>
      <c r="D10" s="409"/>
      <c r="E10" s="1096"/>
      <c r="F10" s="1096"/>
      <c r="G10" s="1096"/>
      <c r="H10" s="1835"/>
      <c r="I10" s="1804"/>
      <c r="J10" s="1838"/>
      <c r="K10" s="1843"/>
      <c r="L10" s="1836" t="s">
        <v>315</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46008.55446759259</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57</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309</v>
      </c>
      <c r="F19" s="2274"/>
      <c r="G19" s="2274"/>
      <c r="H19" s="2274"/>
      <c r="I19" s="2274"/>
      <c r="J19" s="2274"/>
      <c r="K19" s="2274"/>
      <c r="L19" s="2274"/>
      <c r="M19" s="2454" t="s">
        <v>310</v>
      </c>
      <c r="AH19" s="439">
        <v>21</v>
      </c>
    </row>
    <row customHeight="1" ht="22.049999999999997">
      <c r="D20" s="441"/>
      <c r="E20" s="2342" t="s">
        <v>91</v>
      </c>
      <c r="F20" s="2289" t="s">
        <v>125</v>
      </c>
      <c r="G20" s="2289" t="s">
        <v>126</v>
      </c>
      <c r="H20" s="2451" t="s">
        <v>1167</v>
      </c>
      <c r="I20" s="2452"/>
      <c r="J20" s="2498"/>
      <c r="K20" s="2289" t="s">
        <v>312</v>
      </c>
      <c r="L20" s="2289" t="s">
        <v>399</v>
      </c>
      <c r="M20" s="2454"/>
      <c r="AH20" s="439">
        <v>21</v>
      </c>
    </row>
    <row customHeight="1" ht="22.049999999999997">
      <c r="D21" s="441"/>
      <c r="E21" s="2344"/>
      <c r="F21" s="2290"/>
      <c r="G21" s="2290"/>
      <c r="H21" s="2283" t="s">
        <v>1168</v>
      </c>
      <c r="I21" s="2285"/>
      <c r="J21" s="173" t="s">
        <v>1169</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315</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315</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5796" customFormat="1" customHeight="1" ht="18.75" hidden="1">
      <c r="A25" s="1845"/>
      <c r="B25" s="1845"/>
      <c r="C25" s="434" t="s">
        <v>1164</v>
      </c>
      <c r="D25" s="2531"/>
      <c r="E25" s="2269"/>
      <c r="F25" s="2535"/>
      <c r="G25" s="2492"/>
      <c r="H25" s="1565"/>
      <c r="I25" s="716" t="s">
        <v>1165</v>
      </c>
      <c r="J25" s="636"/>
      <c r="K25" s="1565"/>
      <c r="L25" s="279"/>
      <c r="M25" s="2235"/>
      <c r="N25" s="399"/>
      <c r="O25" s="1689"/>
      <c r="P25" s="1689"/>
      <c r="AH25" s="1696">
        <v>0</v>
      </c>
    </row>
    <row customHeight="1" ht="0.75" hidden="1">
      <c r="A26" s="1845"/>
      <c r="B26" s="1845"/>
      <c r="C26" s="434" t="s">
        <v>1170</v>
      </c>
      <c r="D26" s="2531"/>
      <c r="E26" s="2269"/>
      <c r="F26" s="2448"/>
      <c r="G26" s="465"/>
      <c r="H26" s="1565"/>
      <c r="I26" s="460"/>
      <c r="J26" s="414"/>
      <c r="K26" s="1565"/>
      <c r="L26" s="266"/>
      <c r="M26" s="2235"/>
      <c r="N26" s="399"/>
      <c r="AH26" s="439">
        <v>0</v>
      </c>
    </row>
    <row s="5796" customFormat="1" customHeight="1" ht="45" hidden="1">
      <c r="A27" s="1845" t="s">
        <v>165</v>
      </c>
      <c r="B27" s="1845" t="s">
        <v>166</v>
      </c>
      <c r="C27" s="434"/>
      <c r="D27" s="2527"/>
      <c r="E27" s="2528"/>
      <c r="F27" s="252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2" t="str">
        <f>INDEX(PT_DIFFERENTIATION_NTAR,MATCH(B27,PT_DIFFERENTIATION_NTAR_ID,0))</f>
        <v/>
      </c>
      <c r="H27" s="1927"/>
      <c r="I27" s="1804"/>
      <c r="J27" s="1838"/>
      <c r="K27" s="1930"/>
      <c r="L27" s="1927" t="s">
        <v>315</v>
      </c>
      <c r="M27" s="2235"/>
      <c r="N27" s="399"/>
      <c r="O27" s="1689"/>
      <c r="P27" s="1689"/>
      <c r="AH27" s="1696">
        <v>0</v>
      </c>
    </row>
    <row s="5796" customFormat="1" customHeight="1" ht="18.75" hidden="1">
      <c r="A28" s="1845"/>
      <c r="B28" s="1845"/>
      <c r="C28" s="434" t="s">
        <v>1164</v>
      </c>
      <c r="D28" s="2527"/>
      <c r="E28" s="2528"/>
      <c r="F28" s="2529"/>
      <c r="G28" s="2492"/>
      <c r="H28" s="1565"/>
      <c r="I28" s="716" t="s">
        <v>1165</v>
      </c>
      <c r="J28" s="636"/>
      <c r="K28" s="1565"/>
      <c r="L28" s="279"/>
      <c r="M28" s="2235"/>
      <c r="N28" s="399"/>
      <c r="O28" s="1689"/>
      <c r="P28" s="1689"/>
      <c r="AH28" s="1696">
        <v>0</v>
      </c>
    </row>
    <row s="5796" customFormat="1" customHeight="1" ht="0.75" hidden="1">
      <c r="A29" s="1845"/>
      <c r="B29" s="1845"/>
      <c r="C29" s="434" t="s">
        <v>1170</v>
      </c>
      <c r="D29" s="2527"/>
      <c r="E29" s="2269"/>
      <c r="F29" s="2448"/>
      <c r="G29" s="465"/>
      <c r="H29" s="1565"/>
      <c r="I29" s="716"/>
      <c r="J29" s="636"/>
      <c r="K29" s="1565"/>
      <c r="L29" s="279"/>
      <c r="M29" s="2235"/>
      <c r="N29" s="399"/>
      <c r="O29" s="1689"/>
      <c r="P29" s="1689"/>
      <c r="AH29" s="1696">
        <v>0</v>
      </c>
    </row>
    <row s="5796" customFormat="1" customHeight="1" ht="45" hidden="1">
      <c r="A30" s="1845" t="s">
        <v>177</v>
      </c>
      <c r="B30" s="1845" t="s">
        <v>178</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315</v>
      </c>
      <c r="M30" s="2235"/>
      <c r="N30" s="399"/>
      <c r="O30" s="1689"/>
      <c r="P30" s="1689"/>
      <c r="AH30" s="1696">
        <v>0</v>
      </c>
    </row>
    <row s="5796" customFormat="1" customHeight="1" ht="18.75" hidden="1">
      <c r="A31" s="1845"/>
      <c r="B31" s="1845"/>
      <c r="C31" s="434" t="s">
        <v>1164</v>
      </c>
      <c r="D31" s="2527"/>
      <c r="E31" s="2269"/>
      <c r="F31" s="2448"/>
      <c r="G31" s="2492"/>
      <c r="H31" s="1565"/>
      <c r="I31" s="716" t="s">
        <v>1165</v>
      </c>
      <c r="J31" s="636"/>
      <c r="K31" s="1565"/>
      <c r="L31" s="279"/>
      <c r="M31" s="2235"/>
      <c r="N31" s="399"/>
      <c r="O31" s="1689"/>
      <c r="P31" s="1689"/>
      <c r="AH31" s="1696">
        <v>0</v>
      </c>
    </row>
    <row s="5796" customFormat="1" customHeight="1" ht="0.75" hidden="1">
      <c r="A32" s="1845"/>
      <c r="B32" s="1845"/>
      <c r="C32" s="434" t="s">
        <v>1170</v>
      </c>
      <c r="D32" s="2527"/>
      <c r="E32" s="2269"/>
      <c r="F32" s="2448"/>
      <c r="G32" s="465"/>
      <c r="H32" s="1565"/>
      <c r="I32" s="716"/>
      <c r="J32" s="636"/>
      <c r="K32" s="1565"/>
      <c r="L32" s="279"/>
      <c r="M32" s="2235"/>
      <c r="N32" s="399"/>
      <c r="O32" s="1689"/>
      <c r="P32" s="1689"/>
      <c r="AH32" s="1696">
        <v>0</v>
      </c>
    </row>
    <row s="5796" customFormat="1" customHeight="1" ht="45" hidden="1">
      <c r="A33" s="1845" t="s">
        <v>184</v>
      </c>
      <c r="B33" s="1845" t="s">
        <v>185</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315</v>
      </c>
      <c r="M33" s="2235"/>
      <c r="N33" s="399"/>
      <c r="O33" s="1689"/>
      <c r="P33" s="1689"/>
      <c r="AH33" s="1696">
        <v>0</v>
      </c>
    </row>
    <row s="5796" customFormat="1" customHeight="1" ht="18.75" hidden="1">
      <c r="A34" s="1845"/>
      <c r="B34" s="1845"/>
      <c r="C34" s="434" t="s">
        <v>1164</v>
      </c>
      <c r="D34" s="2527"/>
      <c r="E34" s="2269"/>
      <c r="F34" s="2448"/>
      <c r="G34" s="2492"/>
      <c r="H34" s="1565"/>
      <c r="I34" s="716" t="s">
        <v>1165</v>
      </c>
      <c r="J34" s="636"/>
      <c r="K34" s="1565"/>
      <c r="L34" s="279"/>
      <c r="M34" s="2235"/>
      <c r="N34" s="399"/>
      <c r="O34" s="1689"/>
      <c r="P34" s="1689"/>
      <c r="AH34" s="1696">
        <v>0</v>
      </c>
    </row>
    <row s="5796" customFormat="1" customHeight="1" ht="0.75" hidden="1">
      <c r="A35" s="1845"/>
      <c r="B35" s="1845"/>
      <c r="C35" s="434" t="s">
        <v>1170</v>
      </c>
      <c r="D35" s="2527"/>
      <c r="E35" s="2269"/>
      <c r="F35" s="2448"/>
      <c r="G35" s="465"/>
      <c r="H35" s="1565"/>
      <c r="I35" s="716"/>
      <c r="J35" s="636"/>
      <c r="K35" s="1565"/>
      <c r="L35" s="279"/>
      <c r="M35" s="2235"/>
      <c r="N35" s="399"/>
      <c r="O35" s="1689"/>
      <c r="P35" s="1689"/>
      <c r="AH35" s="1696">
        <v>0</v>
      </c>
    </row>
    <row s="5796" customFormat="1" customHeight="1" ht="18.75" hidden="1">
      <c r="A36" s="1845" t="s">
        <v>190</v>
      </c>
      <c r="B36" s="1845" t="s">
        <v>191</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315</v>
      </c>
      <c r="M36" s="2235"/>
      <c r="N36" s="399"/>
      <c r="O36" s="1689"/>
      <c r="P36" s="1689"/>
      <c r="AH36" s="1696">
        <v>0</v>
      </c>
    </row>
    <row s="5796" customFormat="1" customHeight="1" ht="18.75" hidden="1">
      <c r="A37" s="1845"/>
      <c r="B37" s="1845"/>
      <c r="C37" s="434" t="s">
        <v>1164</v>
      </c>
      <c r="D37" s="2527"/>
      <c r="E37" s="2269"/>
      <c r="F37" s="2448"/>
      <c r="G37" s="2492"/>
      <c r="H37" s="1565"/>
      <c r="I37" s="716" t="s">
        <v>1165</v>
      </c>
      <c r="J37" s="636"/>
      <c r="K37" s="1565"/>
      <c r="L37" s="279"/>
      <c r="M37" s="2235"/>
      <c r="N37" s="399"/>
      <c r="O37" s="1689"/>
      <c r="P37" s="1689"/>
      <c r="AH37" s="1696">
        <v>0</v>
      </c>
    </row>
    <row s="5796" customFormat="1" customHeight="1" ht="0.75" hidden="1">
      <c r="A38" s="1845"/>
      <c r="B38" s="1845"/>
      <c r="C38" s="434" t="s">
        <v>1170</v>
      </c>
      <c r="D38" s="2527"/>
      <c r="E38" s="2269"/>
      <c r="F38" s="2448"/>
      <c r="G38" s="465"/>
      <c r="H38" s="1565"/>
      <c r="I38" s="716"/>
      <c r="J38" s="636"/>
      <c r="K38" s="1565"/>
      <c r="L38" s="279"/>
      <c r="M38" s="2235"/>
      <c r="N38" s="399"/>
      <c r="O38" s="1689"/>
      <c r="P38" s="1689"/>
      <c r="AH38" s="1696">
        <v>0</v>
      </c>
    </row>
    <row s="5796" customFormat="1" customHeight="1" ht="18.75" hidden="1">
      <c r="A39" s="1845" t="s">
        <v>196</v>
      </c>
      <c r="B39" s="1845" t="s">
        <v>197</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315</v>
      </c>
      <c r="M39" s="2235"/>
      <c r="N39" s="399"/>
      <c r="O39" s="1689"/>
      <c r="P39" s="1689"/>
      <c r="AH39" s="1696">
        <v>0</v>
      </c>
    </row>
    <row s="5796" customFormat="1" customHeight="1" ht="18.75" hidden="1">
      <c r="A40" s="1845"/>
      <c r="B40" s="1845"/>
      <c r="C40" s="434" t="s">
        <v>1164</v>
      </c>
      <c r="D40" s="2527"/>
      <c r="E40" s="2269"/>
      <c r="F40" s="2448"/>
      <c r="G40" s="2492"/>
      <c r="H40" s="1565"/>
      <c r="I40" s="716" t="s">
        <v>1165</v>
      </c>
      <c r="J40" s="636"/>
      <c r="K40" s="1565"/>
      <c r="L40" s="279"/>
      <c r="M40" s="2235"/>
      <c r="N40" s="399"/>
      <c r="O40" s="1689"/>
      <c r="P40" s="1689"/>
      <c r="AH40" s="1696">
        <v>0</v>
      </c>
    </row>
    <row s="5796" customFormat="1" customHeight="1" ht="0.75" hidden="1">
      <c r="A41" s="1845"/>
      <c r="B41" s="1845"/>
      <c r="C41" s="434" t="s">
        <v>1170</v>
      </c>
      <c r="D41" s="2527"/>
      <c r="E41" s="2269"/>
      <c r="F41" s="2448"/>
      <c r="G41" s="465"/>
      <c r="H41" s="1565"/>
      <c r="I41" s="716"/>
      <c r="J41" s="636"/>
      <c r="K41" s="1565"/>
      <c r="L41" s="279"/>
      <c r="M41" s="2235"/>
      <c r="N41" s="399"/>
      <c r="O41" s="1689"/>
      <c r="P41" s="1689"/>
      <c r="AH41" s="1696">
        <v>0</v>
      </c>
    </row>
    <row s="5796" customFormat="1" customHeight="1" ht="18.75" hidden="1">
      <c r="A42" s="1845" t="s">
        <v>202</v>
      </c>
      <c r="B42" s="1845" t="s">
        <v>203</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315</v>
      </c>
      <c r="M42" s="2235"/>
      <c r="N42" s="399"/>
      <c r="O42" s="1689"/>
      <c r="P42" s="1689"/>
      <c r="AH42" s="1696">
        <v>0</v>
      </c>
    </row>
    <row s="5796" customFormat="1" customHeight="1" ht="18.75" hidden="1">
      <c r="A43" s="1845"/>
      <c r="B43" s="1845"/>
      <c r="C43" s="434" t="s">
        <v>1164</v>
      </c>
      <c r="D43" s="2527"/>
      <c r="E43" s="2269"/>
      <c r="F43" s="2448"/>
      <c r="G43" s="2492"/>
      <c r="H43" s="1565"/>
      <c r="I43" s="716" t="s">
        <v>1165</v>
      </c>
      <c r="J43" s="636"/>
      <c r="K43" s="1565"/>
      <c r="L43" s="279"/>
      <c r="M43" s="2235"/>
      <c r="N43" s="399"/>
      <c r="O43" s="1689"/>
      <c r="P43" s="1689"/>
      <c r="AH43" s="1696">
        <v>0</v>
      </c>
    </row>
    <row s="5796" customFormat="1" customHeight="1" ht="0.75" hidden="1">
      <c r="A44" s="1845"/>
      <c r="B44" s="1845"/>
      <c r="C44" s="434" t="s">
        <v>1170</v>
      </c>
      <c r="D44" s="2527"/>
      <c r="E44" s="2269"/>
      <c r="F44" s="2448"/>
      <c r="G44" s="465"/>
      <c r="H44" s="1565"/>
      <c r="I44" s="716"/>
      <c r="J44" s="636"/>
      <c r="K44" s="1565"/>
      <c r="L44" s="279"/>
      <c r="M44" s="2235"/>
      <c r="N44" s="399"/>
      <c r="O44" s="1689"/>
      <c r="P44" s="1689"/>
      <c r="AH44" s="1696">
        <v>0</v>
      </c>
    </row>
    <row s="5796" customFormat="1" customHeight="1" ht="18.75" hidden="1">
      <c r="A45" s="1845" t="s">
        <v>208</v>
      </c>
      <c r="B45" s="1845" t="s">
        <v>209</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315</v>
      </c>
      <c r="M45" s="2235"/>
      <c r="N45" s="399"/>
      <c r="O45" s="1689"/>
      <c r="P45" s="1689"/>
      <c r="AH45" s="1696">
        <v>0</v>
      </c>
    </row>
    <row s="5796" customFormat="1" customHeight="1" ht="18.75" hidden="1">
      <c r="A46" s="1845"/>
      <c r="B46" s="1845"/>
      <c r="C46" s="434" t="s">
        <v>1164</v>
      </c>
      <c r="D46" s="2527"/>
      <c r="E46" s="2269"/>
      <c r="F46" s="2448"/>
      <c r="G46" s="2492"/>
      <c r="H46" s="1565"/>
      <c r="I46" s="716" t="s">
        <v>1165</v>
      </c>
      <c r="J46" s="636"/>
      <c r="K46" s="1565"/>
      <c r="L46" s="279"/>
      <c r="M46" s="2235"/>
      <c r="N46" s="399"/>
      <c r="O46" s="1689"/>
      <c r="P46" s="1689"/>
      <c r="AH46" s="1696">
        <v>0</v>
      </c>
    </row>
    <row s="5796" customFormat="1" customHeight="1" ht="0.75" hidden="1">
      <c r="A47" s="1845"/>
      <c r="B47" s="1845"/>
      <c r="C47" s="434" t="s">
        <v>1170</v>
      </c>
      <c r="D47" s="2527"/>
      <c r="E47" s="2269"/>
      <c r="F47" s="2448"/>
      <c r="G47" s="465"/>
      <c r="H47" s="1565"/>
      <c r="I47" s="716"/>
      <c r="J47" s="636"/>
      <c r="K47" s="1565"/>
      <c r="L47" s="279"/>
      <c r="M47" s="2235"/>
      <c r="N47" s="399"/>
      <c r="O47" s="1689"/>
      <c r="P47" s="1689"/>
      <c r="AH47" s="1696">
        <v>0</v>
      </c>
    </row>
    <row s="5796" customFormat="1" customHeight="1" ht="18.75" hidden="1">
      <c r="A48" s="1845" t="s">
        <v>214</v>
      </c>
      <c r="B48" s="1845" t="s">
        <v>215</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315</v>
      </c>
      <c r="M48" s="2235"/>
      <c r="N48" s="399"/>
      <c r="O48" s="1689"/>
      <c r="P48" s="1689"/>
      <c r="AH48" s="1696">
        <v>0</v>
      </c>
    </row>
    <row s="5796" customFormat="1" customHeight="1" ht="18.75" hidden="1">
      <c r="A49" s="1845"/>
      <c r="B49" s="1845"/>
      <c r="C49" s="434" t="s">
        <v>1164</v>
      </c>
      <c r="D49" s="2527"/>
      <c r="E49" s="2269"/>
      <c r="F49" s="2448"/>
      <c r="G49" s="2492"/>
      <c r="H49" s="1565"/>
      <c r="I49" s="716" t="s">
        <v>1165</v>
      </c>
      <c r="J49" s="636"/>
      <c r="K49" s="1565"/>
      <c r="L49" s="279"/>
      <c r="M49" s="2235"/>
      <c r="N49" s="399"/>
      <c r="O49" s="1689"/>
      <c r="P49" s="1689"/>
      <c r="AH49" s="1696">
        <v>0</v>
      </c>
    </row>
    <row s="5796" customFormat="1" customHeight="1" ht="0.75" hidden="1">
      <c r="A50" s="1845"/>
      <c r="B50" s="1845"/>
      <c r="C50" s="434" t="s">
        <v>1170</v>
      </c>
      <c r="D50" s="2527"/>
      <c r="E50" s="2269"/>
      <c r="F50" s="2448"/>
      <c r="G50" s="465"/>
      <c r="H50" s="1565"/>
      <c r="I50" s="716"/>
      <c r="J50" s="636"/>
      <c r="K50" s="1565"/>
      <c r="L50" s="279"/>
      <c r="M50" s="2235"/>
      <c r="N50" s="399"/>
      <c r="O50" s="1689"/>
      <c r="P50" s="1689"/>
      <c r="AH50" s="1696">
        <v>0</v>
      </c>
    </row>
    <row s="5796" customFormat="1" customHeight="1" ht="18.75" hidden="1">
      <c r="A51" s="1845" t="s">
        <v>234</v>
      </c>
      <c r="B51" s="1845" t="s">
        <v>235</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315</v>
      </c>
      <c r="M51" s="2235"/>
      <c r="N51" s="399"/>
      <c r="O51" s="1689"/>
      <c r="P51" s="1689"/>
      <c r="AH51" s="1696">
        <v>0</v>
      </c>
    </row>
    <row s="5796" customFormat="1" customHeight="1" ht="18.75" hidden="1">
      <c r="A52" s="1845"/>
      <c r="B52" s="1845"/>
      <c r="C52" s="434" t="s">
        <v>1164</v>
      </c>
      <c r="D52" s="2527"/>
      <c r="E52" s="2269"/>
      <c r="F52" s="2448"/>
      <c r="G52" s="2492"/>
      <c r="H52" s="1565"/>
      <c r="I52" s="716" t="s">
        <v>1165</v>
      </c>
      <c r="J52" s="636"/>
      <c r="K52" s="1565"/>
      <c r="L52" s="279"/>
      <c r="M52" s="2235"/>
      <c r="N52" s="399"/>
      <c r="O52" s="1689"/>
      <c r="P52" s="1689"/>
      <c r="AH52" s="1696">
        <v>0</v>
      </c>
    </row>
    <row s="5796" customFormat="1" customHeight="1" ht="0.75" hidden="1">
      <c r="A53" s="1845"/>
      <c r="B53" s="1845"/>
      <c r="C53" s="434" t="s">
        <v>1170</v>
      </c>
      <c r="D53" s="2527"/>
      <c r="E53" s="2269"/>
      <c r="F53" s="2448"/>
      <c r="G53" s="465"/>
      <c r="H53" s="1565"/>
      <c r="I53" s="716"/>
      <c r="J53" s="636"/>
      <c r="K53" s="1565"/>
      <c r="L53" s="279"/>
      <c r="M53" s="2235"/>
      <c r="N53" s="399"/>
      <c r="O53" s="1689"/>
      <c r="P53" s="1689"/>
      <c r="AH53" s="1696">
        <v>0</v>
      </c>
    </row>
    <row s="5796" customFormat="1" customHeight="1" ht="18.75" hidden="1">
      <c r="A54" s="1845" t="s">
        <v>239</v>
      </c>
      <c r="B54" s="1845" t="s">
        <v>240</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315</v>
      </c>
      <c r="M54" s="2235"/>
      <c r="N54" s="399"/>
      <c r="O54" s="1689"/>
      <c r="P54" s="1689"/>
      <c r="AH54" s="1696">
        <v>0</v>
      </c>
    </row>
    <row s="5796" customFormat="1" customHeight="1" ht="18.75" hidden="1">
      <c r="A55" s="1845"/>
      <c r="B55" s="1845"/>
      <c r="C55" s="434" t="s">
        <v>1164</v>
      </c>
      <c r="D55" s="2527"/>
      <c r="E55" s="2269"/>
      <c r="F55" s="2448"/>
      <c r="G55" s="2492"/>
      <c r="H55" s="1565"/>
      <c r="I55" s="716" t="s">
        <v>1165</v>
      </c>
      <c r="J55" s="636"/>
      <c r="K55" s="1565"/>
      <c r="L55" s="279"/>
      <c r="M55" s="2235"/>
      <c r="N55" s="399"/>
      <c r="O55" s="1689"/>
      <c r="P55" s="1689"/>
      <c r="AH55" s="1696">
        <v>0</v>
      </c>
    </row>
    <row s="5796" customFormat="1" customHeight="1" ht="0.75" hidden="1">
      <c r="A56" s="1845"/>
      <c r="B56" s="1845"/>
      <c r="C56" s="434" t="s">
        <v>1170</v>
      </c>
      <c r="D56" s="2527"/>
      <c r="E56" s="2269"/>
      <c r="F56" s="2448"/>
      <c r="G56" s="465"/>
      <c r="H56" s="1565"/>
      <c r="I56" s="716"/>
      <c r="J56" s="636"/>
      <c r="K56" s="1565"/>
      <c r="L56" s="279"/>
      <c r="M56" s="2235"/>
      <c r="N56" s="399"/>
      <c r="O56" s="1689"/>
      <c r="P56" s="1689"/>
      <c r="AH56" s="1696">
        <v>0</v>
      </c>
    </row>
    <row s="5796" customFormat="1" customHeight="1" ht="18.75" hidden="1">
      <c r="A57" s="1845" t="s">
        <v>244</v>
      </c>
      <c r="B57" s="1845" t="s">
        <v>245</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315</v>
      </c>
      <c r="M57" s="2235"/>
      <c r="N57" s="399"/>
      <c r="O57" s="1689"/>
      <c r="P57" s="1689"/>
      <c r="AH57" s="1696">
        <v>0</v>
      </c>
    </row>
    <row s="5796" customFormat="1" customHeight="1" ht="18.75" hidden="1">
      <c r="A58" s="1845"/>
      <c r="B58" s="1845"/>
      <c r="C58" s="434" t="s">
        <v>1164</v>
      </c>
      <c r="D58" s="2527"/>
      <c r="E58" s="2269"/>
      <c r="F58" s="2448"/>
      <c r="G58" s="2492"/>
      <c r="H58" s="1565"/>
      <c r="I58" s="716" t="s">
        <v>1165</v>
      </c>
      <c r="J58" s="636"/>
      <c r="K58" s="1565"/>
      <c r="L58" s="279"/>
      <c r="M58" s="2235"/>
      <c r="N58" s="399"/>
      <c r="O58" s="1689"/>
      <c r="P58" s="1689"/>
      <c r="AH58" s="1696">
        <v>0</v>
      </c>
    </row>
    <row s="5796" customFormat="1" customHeight="1" ht="0.75" hidden="1">
      <c r="A59" s="1845"/>
      <c r="B59" s="1845"/>
      <c r="C59" s="434" t="s">
        <v>1170</v>
      </c>
      <c r="D59" s="2527"/>
      <c r="E59" s="2269"/>
      <c r="F59" s="2448"/>
      <c r="G59" s="465"/>
      <c r="H59" s="1565"/>
      <c r="I59" s="716"/>
      <c r="J59" s="636"/>
      <c r="K59" s="1565"/>
      <c r="L59" s="279"/>
      <c r="M59" s="2235"/>
      <c r="N59" s="399"/>
      <c r="O59" s="1689"/>
      <c r="P59" s="1689"/>
      <c r="AH59" s="1696">
        <v>0</v>
      </c>
    </row>
    <row s="5796" customFormat="1" customHeight="1" ht="18.75" hidden="1">
      <c r="A60" s="1845" t="s">
        <v>249</v>
      </c>
      <c r="B60" s="1845" t="s">
        <v>250</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315</v>
      </c>
      <c r="M60" s="2235"/>
      <c r="N60" s="399"/>
      <c r="O60" s="1689"/>
      <c r="P60" s="1689"/>
      <c r="AH60" s="1696">
        <v>0</v>
      </c>
    </row>
    <row s="5796" customFormat="1" customHeight="1" ht="18.75" hidden="1">
      <c r="A61" s="1845"/>
      <c r="B61" s="1845"/>
      <c r="C61" s="434" t="s">
        <v>1164</v>
      </c>
      <c r="D61" s="2527"/>
      <c r="E61" s="2269"/>
      <c r="F61" s="2448"/>
      <c r="G61" s="2492"/>
      <c r="H61" s="1565"/>
      <c r="I61" s="716" t="s">
        <v>1165</v>
      </c>
      <c r="J61" s="636"/>
      <c r="K61" s="1565"/>
      <c r="L61" s="279"/>
      <c r="M61" s="2235"/>
      <c r="N61" s="399"/>
      <c r="O61" s="1689"/>
      <c r="P61" s="1689"/>
      <c r="AH61" s="1696">
        <v>0</v>
      </c>
    </row>
    <row s="5796" customFormat="1" customHeight="1" ht="0.75" hidden="1">
      <c r="A62" s="1845"/>
      <c r="B62" s="1845"/>
      <c r="C62" s="434" t="s">
        <v>1170</v>
      </c>
      <c r="D62" s="2527"/>
      <c r="E62" s="2269"/>
      <c r="F62" s="2448"/>
      <c r="G62" s="465"/>
      <c r="H62" s="1565"/>
      <c r="I62" s="716"/>
      <c r="J62" s="636"/>
      <c r="K62" s="1565"/>
      <c r="L62" s="279"/>
      <c r="M62" s="2235"/>
      <c r="N62" s="399"/>
      <c r="O62" s="1689"/>
      <c r="P62" s="1689"/>
      <c r="AH62" s="1696">
        <v>0</v>
      </c>
    </row>
    <row s="5796" customFormat="1" customHeight="1" ht="18.75" hidden="1">
      <c r="A63" s="1845" t="s">
        <v>254</v>
      </c>
      <c r="B63" s="1845" t="s">
        <v>255</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315</v>
      </c>
      <c r="M63" s="2235"/>
      <c r="N63" s="399"/>
      <c r="O63" s="1689"/>
      <c r="P63" s="1689"/>
      <c r="AH63" s="1696">
        <v>0</v>
      </c>
    </row>
    <row s="5796" customFormat="1" customHeight="1" ht="18.75" hidden="1">
      <c r="A64" s="1845"/>
      <c r="B64" s="1845"/>
      <c r="C64" s="434" t="s">
        <v>1164</v>
      </c>
      <c r="D64" s="2527"/>
      <c r="E64" s="2269"/>
      <c r="F64" s="2448"/>
      <c r="G64" s="2492"/>
      <c r="H64" s="1565"/>
      <c r="I64" s="716" t="s">
        <v>1165</v>
      </c>
      <c r="J64" s="636"/>
      <c r="K64" s="1565"/>
      <c r="L64" s="279"/>
      <c r="M64" s="2235"/>
      <c r="N64" s="399"/>
      <c r="O64" s="1689"/>
      <c r="P64" s="1689"/>
      <c r="AH64" s="1696">
        <v>0</v>
      </c>
    </row>
    <row s="5796" customFormat="1" customHeight="1" ht="0.75" hidden="1">
      <c r="A65" s="1845"/>
      <c r="B65" s="1845"/>
      <c r="C65" s="434" t="s">
        <v>1170</v>
      </c>
      <c r="D65" s="2527"/>
      <c r="E65" s="2269"/>
      <c r="F65" s="2448"/>
      <c r="G65" s="465"/>
      <c r="H65" s="1565"/>
      <c r="I65" s="716"/>
      <c r="J65" s="636"/>
      <c r="K65" s="1565"/>
      <c r="L65" s="279"/>
      <c r="M65" s="2235"/>
      <c r="N65" s="399"/>
      <c r="O65" s="1689"/>
      <c r="P65" s="1689"/>
      <c r="AH65" s="1696">
        <v>0</v>
      </c>
    </row>
    <row s="5796" customFormat="1" customHeight="1" ht="18.75" hidden="1">
      <c r="A66" s="1845" t="s">
        <v>259</v>
      </c>
      <c r="B66" s="1845" t="s">
        <v>260</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315</v>
      </c>
      <c r="M66" s="2235"/>
      <c r="N66" s="399"/>
      <c r="O66" s="1689"/>
      <c r="P66" s="1689"/>
      <c r="AH66" s="1696">
        <v>0</v>
      </c>
    </row>
    <row s="5796" customFormat="1" customHeight="1" ht="18.75" hidden="1">
      <c r="A67" s="1845"/>
      <c r="B67" s="1845"/>
      <c r="C67" s="434" t="s">
        <v>1164</v>
      </c>
      <c r="D67" s="2527"/>
      <c r="E67" s="2269"/>
      <c r="F67" s="2448"/>
      <c r="G67" s="2492"/>
      <c r="H67" s="1565"/>
      <c r="I67" s="716" t="s">
        <v>1165</v>
      </c>
      <c r="J67" s="636"/>
      <c r="K67" s="1565"/>
      <c r="L67" s="279"/>
      <c r="M67" s="2235"/>
      <c r="N67" s="399"/>
      <c r="O67" s="1689"/>
      <c r="P67" s="1689"/>
      <c r="AH67" s="1696">
        <v>0</v>
      </c>
    </row>
    <row s="5796" customFormat="1" customHeight="1" ht="0.75" hidden="1">
      <c r="A68" s="1845"/>
      <c r="B68" s="1845"/>
      <c r="C68" s="434" t="s">
        <v>1170</v>
      </c>
      <c r="D68" s="2527"/>
      <c r="E68" s="2269"/>
      <c r="F68" s="2448"/>
      <c r="G68" s="465"/>
      <c r="H68" s="1565"/>
      <c r="I68" s="716"/>
      <c r="J68" s="636"/>
      <c r="K68" s="1565"/>
      <c r="L68" s="279"/>
      <c r="M68" s="2235"/>
      <c r="N68" s="399"/>
      <c r="O68" s="1689"/>
      <c r="P68" s="1689"/>
      <c r="AH68" s="1696">
        <v>0</v>
      </c>
    </row>
    <row s="5796" customFormat="1" customHeight="1" ht="18.75" hidden="1">
      <c r="A69" s="1845" t="s">
        <v>264</v>
      </c>
      <c r="B69" s="1845" t="s">
        <v>265</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315</v>
      </c>
      <c r="M69" s="2235"/>
      <c r="N69" s="399"/>
      <c r="O69" s="1689"/>
      <c r="P69" s="1689"/>
      <c r="AH69" s="1696">
        <v>0</v>
      </c>
    </row>
    <row s="5796" customFormat="1" customHeight="1" ht="18.75" hidden="1">
      <c r="A70" s="1845"/>
      <c r="B70" s="1845"/>
      <c r="C70" s="434" t="s">
        <v>1164</v>
      </c>
      <c r="D70" s="2527"/>
      <c r="E70" s="2269"/>
      <c r="F70" s="2448"/>
      <c r="G70" s="2492"/>
      <c r="H70" s="1565"/>
      <c r="I70" s="716" t="s">
        <v>1165</v>
      </c>
      <c r="J70" s="636"/>
      <c r="K70" s="1565"/>
      <c r="L70" s="279"/>
      <c r="M70" s="2235"/>
      <c r="N70" s="399"/>
      <c r="O70" s="1689"/>
      <c r="P70" s="1689"/>
      <c r="AH70" s="1696">
        <v>0</v>
      </c>
    </row>
    <row s="5796" customFormat="1" customHeight="1" ht="0.75" hidden="1">
      <c r="A71" s="1845"/>
      <c r="B71" s="1845"/>
      <c r="C71" s="434" t="s">
        <v>1170</v>
      </c>
      <c r="D71" s="2527"/>
      <c r="E71" s="2269"/>
      <c r="F71" s="2448"/>
      <c r="G71" s="465"/>
      <c r="H71" s="1565"/>
      <c r="I71" s="716"/>
      <c r="J71" s="636"/>
      <c r="K71" s="1565"/>
      <c r="L71" s="279"/>
      <c r="M71" s="2235"/>
      <c r="N71" s="399"/>
      <c r="O71" s="1689"/>
      <c r="P71" s="1689"/>
      <c r="AH71" s="1696">
        <v>0</v>
      </c>
    </row>
    <row s="5796" customFormat="1" customHeight="1" ht="18.75" hidden="1">
      <c r="A72" s="1845" t="s">
        <v>269</v>
      </c>
      <c r="B72" s="1845" t="s">
        <v>270</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315</v>
      </c>
      <c r="M72" s="2235"/>
      <c r="N72" s="399"/>
      <c r="O72" s="1689"/>
      <c r="P72" s="1689"/>
      <c r="AH72" s="1696">
        <v>0</v>
      </c>
    </row>
    <row s="5796" customFormat="1" customHeight="1" ht="18.75" hidden="1">
      <c r="A73" s="1845"/>
      <c r="B73" s="1845"/>
      <c r="C73" s="434" t="s">
        <v>1164</v>
      </c>
      <c r="D73" s="2527"/>
      <c r="E73" s="2269"/>
      <c r="F73" s="2448"/>
      <c r="G73" s="2492"/>
      <c r="H73" s="1565"/>
      <c r="I73" s="716" t="s">
        <v>1165</v>
      </c>
      <c r="J73" s="636"/>
      <c r="K73" s="1565"/>
      <c r="L73" s="279"/>
      <c r="M73" s="2235"/>
      <c r="N73" s="399"/>
      <c r="O73" s="1689"/>
      <c r="P73" s="1689"/>
      <c r="AH73" s="1696">
        <v>0</v>
      </c>
    </row>
    <row s="5796" customFormat="1" customHeight="1" ht="0.75" hidden="1">
      <c r="A74" s="1845"/>
      <c r="B74" s="1845"/>
      <c r="C74" s="434" t="s">
        <v>1170</v>
      </c>
      <c r="D74" s="2527"/>
      <c r="E74" s="2269"/>
      <c r="F74" s="2448"/>
      <c r="G74" s="465"/>
      <c r="H74" s="1565"/>
      <c r="I74" s="716"/>
      <c r="J74" s="636"/>
      <c r="K74" s="1565"/>
      <c r="L74" s="279"/>
      <c r="M74" s="2235"/>
      <c r="N74" s="399"/>
      <c r="O74" s="1689"/>
      <c r="P74" s="1689"/>
      <c r="AH74" s="1696">
        <v>0</v>
      </c>
    </row>
    <row s="5796" customFormat="1" customHeight="1" ht="18.75" hidden="1">
      <c r="A75" s="1845" t="s">
        <v>274</v>
      </c>
      <c r="B75" s="1845" t="s">
        <v>275</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315</v>
      </c>
      <c r="M75" s="2235"/>
      <c r="N75" s="399"/>
      <c r="O75" s="1689"/>
      <c r="P75" s="1689"/>
      <c r="AH75" s="1696">
        <v>0</v>
      </c>
    </row>
    <row s="5796" customFormat="1" customHeight="1" ht="18.75" hidden="1">
      <c r="A76" s="1845"/>
      <c r="B76" s="1845"/>
      <c r="C76" s="434" t="s">
        <v>1164</v>
      </c>
      <c r="D76" s="2527"/>
      <c r="E76" s="2269"/>
      <c r="F76" s="2448"/>
      <c r="G76" s="2492"/>
      <c r="H76" s="1565"/>
      <c r="I76" s="716" t="s">
        <v>1165</v>
      </c>
      <c r="J76" s="636"/>
      <c r="K76" s="1565"/>
      <c r="L76" s="279"/>
      <c r="M76" s="2235"/>
      <c r="N76" s="399"/>
      <c r="O76" s="1689"/>
      <c r="P76" s="1689"/>
      <c r="AH76" s="1696">
        <v>0</v>
      </c>
    </row>
    <row s="5796" customFormat="1" customHeight="1" ht="0.75" hidden="1">
      <c r="A77" s="1845"/>
      <c r="B77" s="1845"/>
      <c r="C77" s="434" t="s">
        <v>1170</v>
      </c>
      <c r="D77" s="2527"/>
      <c r="E77" s="2269"/>
      <c r="F77" s="2448"/>
      <c r="G77" s="465"/>
      <c r="H77" s="1565"/>
      <c r="I77" s="716"/>
      <c r="J77" s="636"/>
      <c r="K77" s="1565"/>
      <c r="L77" s="279"/>
      <c r="M77" s="2235"/>
      <c r="N77" s="399"/>
      <c r="O77" s="1689"/>
      <c r="P77" s="1689"/>
      <c r="AH77" s="1696">
        <v>0</v>
      </c>
    </row>
    <row s="5796" customFormat="1" customHeight="1" ht="18.75" hidden="1">
      <c r="A78" s="1845" t="s">
        <v>279</v>
      </c>
      <c r="B78" s="1845" t="s">
        <v>280</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315</v>
      </c>
      <c r="M78" s="2235"/>
      <c r="N78" s="399"/>
      <c r="O78" s="1689"/>
      <c r="P78" s="1689"/>
      <c r="AH78" s="1696">
        <v>0</v>
      </c>
    </row>
    <row s="5796" customFormat="1" customHeight="1" ht="18.75" hidden="1">
      <c r="A79" s="1845"/>
      <c r="B79" s="1845"/>
      <c r="C79" s="434" t="s">
        <v>1164</v>
      </c>
      <c r="D79" s="2527"/>
      <c r="E79" s="2269"/>
      <c r="F79" s="2448"/>
      <c r="G79" s="2492"/>
      <c r="H79" s="1565"/>
      <c r="I79" s="716" t="s">
        <v>1165</v>
      </c>
      <c r="J79" s="636"/>
      <c r="K79" s="1565"/>
      <c r="L79" s="279"/>
      <c r="M79" s="2235"/>
      <c r="N79" s="399"/>
      <c r="O79" s="1689"/>
      <c r="P79" s="1689"/>
      <c r="AH79" s="1696">
        <v>0</v>
      </c>
    </row>
    <row s="5796" customFormat="1" customHeight="1" ht="0.75" hidden="1">
      <c r="A80" s="1845"/>
      <c r="B80" s="1845"/>
      <c r="C80" s="434" t="s">
        <v>1170</v>
      </c>
      <c r="D80" s="2527"/>
      <c r="E80" s="2269"/>
      <c r="F80" s="2448"/>
      <c r="G80" s="465"/>
      <c r="H80" s="1565"/>
      <c r="I80" s="716"/>
      <c r="J80" s="636"/>
      <c r="K80" s="1565"/>
      <c r="L80" s="279"/>
      <c r="M80" s="2235"/>
      <c r="N80" s="399"/>
      <c r="O80" s="1689"/>
      <c r="P80" s="1689"/>
      <c r="AH80" s="1696">
        <v>0</v>
      </c>
    </row>
    <row s="5796" customFormat="1" customHeight="1" ht="18.75" hidden="1">
      <c r="A81" s="1845" t="s">
        <v>284</v>
      </c>
      <c r="B81" s="1845" t="s">
        <v>285</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315</v>
      </c>
      <c r="M81" s="2235"/>
      <c r="N81" s="399"/>
      <c r="O81" s="1689"/>
      <c r="P81" s="1689"/>
      <c r="AH81" s="1696">
        <v>0</v>
      </c>
    </row>
    <row s="5796" customFormat="1" customHeight="1" ht="18.75" hidden="1">
      <c r="A82" s="1845"/>
      <c r="B82" s="1845"/>
      <c r="C82" s="434" t="s">
        <v>1164</v>
      </c>
      <c r="D82" s="2527"/>
      <c r="E82" s="2269"/>
      <c r="F82" s="2448"/>
      <c r="G82" s="2492"/>
      <c r="H82" s="1565"/>
      <c r="I82" s="716" t="s">
        <v>1165</v>
      </c>
      <c r="J82" s="636"/>
      <c r="K82" s="1565"/>
      <c r="L82" s="279"/>
      <c r="M82" s="2235"/>
      <c r="N82" s="399"/>
      <c r="O82" s="1689"/>
      <c r="P82" s="1689"/>
      <c r="AH82" s="1696">
        <v>0</v>
      </c>
    </row>
    <row s="5796" customFormat="1" customHeight="1" ht="1.05">
      <c r="A83" s="1845"/>
      <c r="B83" s="1845"/>
      <c r="C83" s="434" t="s">
        <v>1170</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315</v>
      </c>
      <c r="G85" s="263" t="s">
        <v>315</v>
      </c>
      <c r="H85" s="2283" t="s">
        <v>315</v>
      </c>
      <c r="I85" s="2285"/>
      <c r="J85" s="263" t="s">
        <v>315</v>
      </c>
      <c r="K85" s="263" t="s">
        <v>315</v>
      </c>
      <c r="L85" s="466"/>
      <c r="M85" s="410" t="s">
        <v>1171</v>
      </c>
      <c r="N85" s="399"/>
      <c r="AH85" s="439">
        <v>34</v>
      </c>
    </row>
    <row customHeight="1" ht="19.95">
      <c r="A86" s="1845"/>
      <c r="B86" s="1845"/>
      <c r="D86" s="441"/>
      <c r="E86" s="212" t="s">
        <v>93</v>
      </c>
      <c r="F86" s="2525" t="s">
        <v>1172</v>
      </c>
      <c r="G86" s="2525"/>
      <c r="H86" s="2525"/>
      <c r="I86" s="2525"/>
      <c r="J86" s="2525"/>
      <c r="K86" s="2525"/>
      <c r="L86" s="2525"/>
      <c r="M86" s="362"/>
      <c r="N86" s="399"/>
      <c r="AH86" s="439">
        <v>19</v>
      </c>
    </row>
    <row s="5796"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315</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5796" customFormat="1" customHeight="1" ht="18.75" hidden="1">
      <c r="A88" s="1845"/>
      <c r="B88" s="1845"/>
      <c r="C88" s="434" t="s">
        <v>1166</v>
      </c>
      <c r="D88" s="2527"/>
      <c r="E88" s="2269"/>
      <c r="F88" s="2448"/>
      <c r="G88" s="2492"/>
      <c r="H88" s="1565"/>
      <c r="I88" s="716" t="s">
        <v>1165</v>
      </c>
      <c r="J88" s="636"/>
      <c r="K88" s="1565"/>
      <c r="L88" s="279"/>
      <c r="M88" s="2235"/>
      <c r="N88" s="399"/>
      <c r="O88" s="1689"/>
      <c r="P88" s="1689"/>
      <c r="AH88" s="1696">
        <v>0</v>
      </c>
    </row>
    <row s="5796" customFormat="1" customHeight="1" ht="0.75" hidden="1">
      <c r="A89" s="1845"/>
      <c r="B89" s="1845"/>
      <c r="C89" s="434" t="s">
        <v>1173</v>
      </c>
      <c r="D89" s="2527"/>
      <c r="E89" s="2269"/>
      <c r="F89" s="2448"/>
      <c r="G89" s="465"/>
      <c r="H89" s="1565"/>
      <c r="I89" s="716"/>
      <c r="J89" s="636"/>
      <c r="K89" s="1565"/>
      <c r="L89" s="279"/>
      <c r="M89" s="2235"/>
      <c r="N89" s="399"/>
      <c r="O89" s="1689"/>
      <c r="P89" s="1689"/>
      <c r="AH89" s="1696">
        <v>0</v>
      </c>
    </row>
    <row s="5796" customFormat="1" customHeight="1" ht="45" hidden="1">
      <c r="A90" s="1845" t="s">
        <v>165</v>
      </c>
      <c r="B90" s="1845" t="s">
        <v>166</v>
      </c>
      <c r="C90" s="434"/>
      <c r="D90" s="2527"/>
      <c r="E90" s="2269"/>
      <c r="F90" s="2448"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2" t="str">
        <f>INDEX(PT_DIFFERENTIATION_NTAR,MATCH(B90,PT_DIFFERENTIATION_NTAR_ID,0))</f>
        <v/>
      </c>
      <c r="H90" s="1927"/>
      <c r="I90" s="1804"/>
      <c r="J90" s="1838"/>
      <c r="K90" s="1843"/>
      <c r="L90" s="1927" t="s">
        <v>315</v>
      </c>
      <c r="M90" s="2236"/>
      <c r="N90" s="399"/>
      <c r="O90" s="1689"/>
      <c r="P90" s="1689"/>
      <c r="AH90" s="1696">
        <v>0</v>
      </c>
    </row>
    <row s="5796" customFormat="1" customHeight="1" ht="18.75" hidden="1">
      <c r="A91" s="1845"/>
      <c r="B91" s="1845"/>
      <c r="C91" s="434" t="s">
        <v>1166</v>
      </c>
      <c r="D91" s="2527"/>
      <c r="E91" s="2269"/>
      <c r="F91" s="2448"/>
      <c r="G91" s="2492"/>
      <c r="H91" s="1565"/>
      <c r="I91" s="716" t="s">
        <v>1165</v>
      </c>
      <c r="J91" s="636"/>
      <c r="K91" s="1565"/>
      <c r="L91" s="279"/>
      <c r="M91" s="1926"/>
      <c r="N91" s="399"/>
      <c r="O91" s="1689"/>
      <c r="P91" s="1689"/>
      <c r="AH91" s="1696">
        <v>0</v>
      </c>
    </row>
    <row s="5796" customFormat="1" customHeight="1" ht="0.75" hidden="1">
      <c r="A92" s="1845"/>
      <c r="B92" s="1845"/>
      <c r="C92" s="434" t="s">
        <v>1173</v>
      </c>
      <c r="D92" s="2527"/>
      <c r="E92" s="2269"/>
      <c r="F92" s="2448"/>
      <c r="G92" s="465"/>
      <c r="H92" s="1565"/>
      <c r="I92" s="716"/>
      <c r="J92" s="636"/>
      <c r="K92" s="1565"/>
      <c r="L92" s="279"/>
      <c r="M92" s="406"/>
      <c r="N92" s="399"/>
      <c r="O92" s="1689"/>
      <c r="P92" s="1689"/>
      <c r="AH92" s="1696">
        <v>0</v>
      </c>
    </row>
    <row s="5796" customFormat="1" customHeight="1" ht="45" hidden="1">
      <c r="A93" s="1845" t="s">
        <v>177</v>
      </c>
      <c r="B93" s="1845" t="s">
        <v>178</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315</v>
      </c>
      <c r="M93" s="406"/>
      <c r="N93" s="399"/>
      <c r="O93" s="1689"/>
      <c r="P93" s="1689"/>
      <c r="AH93" s="1696">
        <v>0</v>
      </c>
    </row>
    <row s="5796" customFormat="1" customHeight="1" ht="18.75" hidden="1">
      <c r="A94" s="1845"/>
      <c r="B94" s="1845"/>
      <c r="C94" s="434" t="s">
        <v>1166</v>
      </c>
      <c r="D94" s="2527"/>
      <c r="E94" s="2269"/>
      <c r="F94" s="2448"/>
      <c r="G94" s="2492"/>
      <c r="H94" s="1565"/>
      <c r="I94" s="716" t="s">
        <v>1165</v>
      </c>
      <c r="J94" s="636"/>
      <c r="K94" s="1565"/>
      <c r="L94" s="279"/>
      <c r="M94" s="406"/>
      <c r="N94" s="399"/>
      <c r="O94" s="1689"/>
      <c r="P94" s="1689"/>
      <c r="AH94" s="1696">
        <v>0</v>
      </c>
    </row>
    <row s="5796" customFormat="1" customHeight="1" ht="0.75" hidden="1">
      <c r="A95" s="1845"/>
      <c r="B95" s="1845"/>
      <c r="C95" s="434" t="s">
        <v>1173</v>
      </c>
      <c r="D95" s="2527"/>
      <c r="E95" s="2269"/>
      <c r="F95" s="2448"/>
      <c r="G95" s="465"/>
      <c r="H95" s="1565"/>
      <c r="I95" s="716"/>
      <c r="J95" s="636"/>
      <c r="K95" s="1565"/>
      <c r="L95" s="279"/>
      <c r="M95" s="406"/>
      <c r="N95" s="399"/>
      <c r="O95" s="1689"/>
      <c r="P95" s="1689"/>
      <c r="AH95" s="1696">
        <v>0</v>
      </c>
    </row>
    <row s="5796" customFormat="1" customHeight="1" ht="45" hidden="1">
      <c r="A96" s="1845" t="s">
        <v>184</v>
      </c>
      <c r="B96" s="1845" t="s">
        <v>185</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315</v>
      </c>
      <c r="M96" s="406"/>
      <c r="N96" s="399"/>
      <c r="O96" s="1689"/>
      <c r="P96" s="1689"/>
      <c r="AH96" s="1696">
        <v>0</v>
      </c>
    </row>
    <row s="5796" customFormat="1" customHeight="1" ht="18.75" hidden="1">
      <c r="A97" s="1845"/>
      <c r="B97" s="1845"/>
      <c r="C97" s="434" t="s">
        <v>1166</v>
      </c>
      <c r="D97" s="2527"/>
      <c r="E97" s="2269"/>
      <c r="F97" s="2448"/>
      <c r="G97" s="2492"/>
      <c r="H97" s="1565"/>
      <c r="I97" s="716" t="s">
        <v>1165</v>
      </c>
      <c r="J97" s="636"/>
      <c r="K97" s="1565"/>
      <c r="L97" s="279"/>
      <c r="M97" s="406"/>
      <c r="N97" s="399"/>
      <c r="O97" s="1689"/>
      <c r="P97" s="1689"/>
      <c r="AH97" s="1696">
        <v>0</v>
      </c>
    </row>
    <row s="5796" customFormat="1" customHeight="1" ht="0.75" hidden="1">
      <c r="A98" s="1845"/>
      <c r="B98" s="1845"/>
      <c r="C98" s="434" t="s">
        <v>1173</v>
      </c>
      <c r="D98" s="2527"/>
      <c r="E98" s="2269"/>
      <c r="F98" s="2448"/>
      <c r="G98" s="465"/>
      <c r="H98" s="1565"/>
      <c r="I98" s="716"/>
      <c r="J98" s="636"/>
      <c r="K98" s="1565"/>
      <c r="L98" s="279"/>
      <c r="M98" s="406"/>
      <c r="N98" s="399"/>
      <c r="O98" s="1689"/>
      <c r="P98" s="1689"/>
      <c r="AH98" s="1696">
        <v>0</v>
      </c>
    </row>
    <row s="5796" customFormat="1" customHeight="1" ht="18.75" hidden="1">
      <c r="A99" s="1845" t="s">
        <v>190</v>
      </c>
      <c r="B99" s="1845" t="s">
        <v>191</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315</v>
      </c>
      <c r="M99" s="406"/>
      <c r="N99" s="399"/>
      <c r="O99" s="1689"/>
      <c r="P99" s="1689"/>
      <c r="AH99" s="1696">
        <v>0</v>
      </c>
    </row>
    <row s="5796" customFormat="1" customHeight="1" ht="18.75" hidden="1">
      <c r="A100" s="1845"/>
      <c r="B100" s="1845"/>
      <c r="C100" s="434" t="s">
        <v>1166</v>
      </c>
      <c r="D100" s="2527"/>
      <c r="E100" s="2269"/>
      <c r="F100" s="2448"/>
      <c r="G100" s="2492"/>
      <c r="H100" s="1565"/>
      <c r="I100" s="716" t="s">
        <v>1165</v>
      </c>
      <c r="J100" s="636"/>
      <c r="K100" s="1565"/>
      <c r="L100" s="279"/>
      <c r="M100" s="406"/>
      <c r="N100" s="399"/>
      <c r="O100" s="1689"/>
      <c r="P100" s="1689"/>
      <c r="AH100" s="1696">
        <v>0</v>
      </c>
    </row>
    <row s="5796" customFormat="1" customHeight="1" ht="0.75" hidden="1">
      <c r="A101" s="1845"/>
      <c r="B101" s="1845"/>
      <c r="C101" s="434" t="s">
        <v>1173</v>
      </c>
      <c r="D101" s="2527"/>
      <c r="E101" s="2269"/>
      <c r="F101" s="2448"/>
      <c r="G101" s="465"/>
      <c r="H101" s="1565"/>
      <c r="I101" s="716"/>
      <c r="J101" s="636"/>
      <c r="K101" s="1565"/>
      <c r="L101" s="279"/>
      <c r="M101" s="406"/>
      <c r="N101" s="399"/>
      <c r="O101" s="1689"/>
      <c r="P101" s="1689"/>
      <c r="AH101" s="1696">
        <v>0</v>
      </c>
    </row>
    <row s="5796" customFormat="1" customHeight="1" ht="18.75" hidden="1">
      <c r="A102" s="1845" t="s">
        <v>196</v>
      </c>
      <c r="B102" s="1845" t="s">
        <v>197</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315</v>
      </c>
      <c r="M102" s="406"/>
      <c r="N102" s="399"/>
      <c r="O102" s="1689"/>
      <c r="P102" s="1689"/>
      <c r="AH102" s="1696">
        <v>0</v>
      </c>
    </row>
    <row s="5796" customFormat="1" customHeight="1" ht="18.75" hidden="1">
      <c r="A103" s="1845"/>
      <c r="B103" s="1845"/>
      <c r="C103" s="434" t="s">
        <v>1166</v>
      </c>
      <c r="D103" s="2527"/>
      <c r="E103" s="2269"/>
      <c r="F103" s="2448"/>
      <c r="G103" s="2492"/>
      <c r="H103" s="1565"/>
      <c r="I103" s="716" t="s">
        <v>1165</v>
      </c>
      <c r="J103" s="636"/>
      <c r="K103" s="1565"/>
      <c r="L103" s="279"/>
      <c r="M103" s="406"/>
      <c r="N103" s="399"/>
      <c r="O103" s="1689"/>
      <c r="P103" s="1689"/>
      <c r="AH103" s="1696">
        <v>0</v>
      </c>
    </row>
    <row s="5796" customFormat="1" customHeight="1" ht="0.75" hidden="1">
      <c r="A104" s="1845"/>
      <c r="B104" s="1845"/>
      <c r="C104" s="434" t="s">
        <v>1173</v>
      </c>
      <c r="D104" s="2527"/>
      <c r="E104" s="2269"/>
      <c r="F104" s="2448"/>
      <c r="G104" s="465"/>
      <c r="H104" s="1565"/>
      <c r="I104" s="716"/>
      <c r="J104" s="636"/>
      <c r="K104" s="1565"/>
      <c r="L104" s="279"/>
      <c r="M104" s="406"/>
      <c r="N104" s="399"/>
      <c r="O104" s="1689"/>
      <c r="P104" s="1689"/>
      <c r="AH104" s="1696">
        <v>0</v>
      </c>
    </row>
    <row s="5796" customFormat="1" customHeight="1" ht="18.75" hidden="1">
      <c r="A105" s="1845" t="s">
        <v>202</v>
      </c>
      <c r="B105" s="1845" t="s">
        <v>203</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315</v>
      </c>
      <c r="M105" s="406"/>
      <c r="N105" s="399"/>
      <c r="O105" s="1689"/>
      <c r="P105" s="1689"/>
      <c r="AH105" s="1696">
        <v>0</v>
      </c>
    </row>
    <row s="5796" customFormat="1" customHeight="1" ht="18.75" hidden="1">
      <c r="A106" s="1845"/>
      <c r="B106" s="1845"/>
      <c r="C106" s="434" t="s">
        <v>1166</v>
      </c>
      <c r="D106" s="2527"/>
      <c r="E106" s="2269"/>
      <c r="F106" s="2448"/>
      <c r="G106" s="2492"/>
      <c r="H106" s="1565"/>
      <c r="I106" s="716" t="s">
        <v>1165</v>
      </c>
      <c r="J106" s="636"/>
      <c r="K106" s="1565"/>
      <c r="L106" s="279"/>
      <c r="M106" s="406"/>
      <c r="N106" s="399"/>
      <c r="O106" s="1689"/>
      <c r="P106" s="1689"/>
      <c r="AH106" s="1696">
        <v>0</v>
      </c>
    </row>
    <row s="5796" customFormat="1" customHeight="1" ht="0.75" hidden="1">
      <c r="A107" s="1845"/>
      <c r="B107" s="1845"/>
      <c r="C107" s="434" t="s">
        <v>1173</v>
      </c>
      <c r="D107" s="2527"/>
      <c r="E107" s="2269"/>
      <c r="F107" s="2448"/>
      <c r="G107" s="465"/>
      <c r="H107" s="1565"/>
      <c r="I107" s="716"/>
      <c r="J107" s="636"/>
      <c r="K107" s="1565"/>
      <c r="L107" s="279"/>
      <c r="M107" s="406"/>
      <c r="N107" s="399"/>
      <c r="O107" s="1689"/>
      <c r="P107" s="1689"/>
      <c r="AH107" s="1696">
        <v>0</v>
      </c>
    </row>
    <row s="5796" customFormat="1" customHeight="1" ht="18.75" hidden="1">
      <c r="A108" s="1845" t="s">
        <v>208</v>
      </c>
      <c r="B108" s="1845" t="s">
        <v>209</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315</v>
      </c>
      <c r="M108" s="406"/>
      <c r="N108" s="399"/>
      <c r="O108" s="1689"/>
      <c r="P108" s="1689"/>
      <c r="AH108" s="1696">
        <v>0</v>
      </c>
    </row>
    <row s="5796" customFormat="1" customHeight="1" ht="18.75" hidden="1">
      <c r="A109" s="1845"/>
      <c r="B109" s="1845"/>
      <c r="C109" s="434" t="s">
        <v>1166</v>
      </c>
      <c r="D109" s="2527"/>
      <c r="E109" s="2269"/>
      <c r="F109" s="2448"/>
      <c r="G109" s="2492"/>
      <c r="H109" s="1565"/>
      <c r="I109" s="716" t="s">
        <v>1165</v>
      </c>
      <c r="J109" s="636"/>
      <c r="K109" s="1565"/>
      <c r="L109" s="279"/>
      <c r="M109" s="406"/>
      <c r="N109" s="399"/>
      <c r="O109" s="1689"/>
      <c r="P109" s="1689"/>
      <c r="AH109" s="1696">
        <v>0</v>
      </c>
    </row>
    <row s="5796" customFormat="1" customHeight="1" ht="0.75" hidden="1">
      <c r="A110" s="1845"/>
      <c r="B110" s="1845"/>
      <c r="C110" s="434" t="s">
        <v>1173</v>
      </c>
      <c r="D110" s="2527"/>
      <c r="E110" s="2269"/>
      <c r="F110" s="2448"/>
      <c r="G110" s="465"/>
      <c r="H110" s="1565"/>
      <c r="I110" s="716"/>
      <c r="J110" s="636"/>
      <c r="K110" s="1565"/>
      <c r="L110" s="279"/>
      <c r="M110" s="406"/>
      <c r="N110" s="399"/>
      <c r="O110" s="1689"/>
      <c r="P110" s="1689"/>
      <c r="AH110" s="1696">
        <v>0</v>
      </c>
    </row>
    <row s="5796" customFormat="1" customHeight="1" ht="18.75" hidden="1">
      <c r="A111" s="1845" t="s">
        <v>214</v>
      </c>
      <c r="B111" s="1845" t="s">
        <v>215</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315</v>
      </c>
      <c r="M111" s="406"/>
      <c r="N111" s="399"/>
      <c r="O111" s="1689"/>
      <c r="P111" s="1689"/>
      <c r="AH111" s="1696">
        <v>0</v>
      </c>
    </row>
    <row s="5796" customFormat="1" customHeight="1" ht="18.75" hidden="1">
      <c r="A112" s="1845"/>
      <c r="B112" s="1845"/>
      <c r="C112" s="434" t="s">
        <v>1166</v>
      </c>
      <c r="D112" s="2527"/>
      <c r="E112" s="2269"/>
      <c r="F112" s="2448"/>
      <c r="G112" s="2492"/>
      <c r="H112" s="1565"/>
      <c r="I112" s="716" t="s">
        <v>1165</v>
      </c>
      <c r="J112" s="636"/>
      <c r="K112" s="1565"/>
      <c r="L112" s="279"/>
      <c r="M112" s="406"/>
      <c r="N112" s="399"/>
      <c r="O112" s="1689"/>
      <c r="P112" s="1689"/>
      <c r="AH112" s="1696">
        <v>0</v>
      </c>
    </row>
    <row s="5796" customFormat="1" customHeight="1" ht="0.75" hidden="1">
      <c r="A113" s="1845"/>
      <c r="B113" s="1845"/>
      <c r="C113" s="434" t="s">
        <v>1173</v>
      </c>
      <c r="D113" s="2527"/>
      <c r="E113" s="2269"/>
      <c r="F113" s="2448"/>
      <c r="G113" s="465"/>
      <c r="H113" s="1565"/>
      <c r="I113" s="716"/>
      <c r="J113" s="636"/>
      <c r="K113" s="1565"/>
      <c r="L113" s="279"/>
      <c r="M113" s="406"/>
      <c r="N113" s="399"/>
      <c r="O113" s="1689"/>
      <c r="P113" s="1689"/>
      <c r="AH113" s="1696">
        <v>0</v>
      </c>
    </row>
    <row s="5796" customFormat="1" customHeight="1" ht="18.75" hidden="1">
      <c r="A114" s="1845" t="s">
        <v>234</v>
      </c>
      <c r="B114" s="1845" t="s">
        <v>235</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315</v>
      </c>
      <c r="M114" s="406"/>
      <c r="N114" s="399"/>
      <c r="O114" s="1689"/>
      <c r="P114" s="1689"/>
      <c r="AH114" s="1696">
        <v>0</v>
      </c>
    </row>
    <row s="5796" customFormat="1" customHeight="1" ht="18.75" hidden="1">
      <c r="A115" s="1845"/>
      <c r="B115" s="1845"/>
      <c r="C115" s="434" t="s">
        <v>1166</v>
      </c>
      <c r="D115" s="2527"/>
      <c r="E115" s="2269"/>
      <c r="F115" s="2448"/>
      <c r="G115" s="2492"/>
      <c r="H115" s="1565"/>
      <c r="I115" s="716" t="s">
        <v>1165</v>
      </c>
      <c r="J115" s="636"/>
      <c r="K115" s="1565"/>
      <c r="L115" s="279"/>
      <c r="M115" s="406"/>
      <c r="N115" s="399"/>
      <c r="O115" s="1689"/>
      <c r="P115" s="1689"/>
      <c r="AH115" s="1696">
        <v>0</v>
      </c>
    </row>
    <row s="5796" customFormat="1" customHeight="1" ht="0.75" hidden="1">
      <c r="A116" s="1845"/>
      <c r="B116" s="1845"/>
      <c r="C116" s="434" t="s">
        <v>1173</v>
      </c>
      <c r="D116" s="2527"/>
      <c r="E116" s="2269"/>
      <c r="F116" s="2448"/>
      <c r="G116" s="465"/>
      <c r="H116" s="1565"/>
      <c r="I116" s="716"/>
      <c r="J116" s="636"/>
      <c r="K116" s="1565"/>
      <c r="L116" s="279"/>
      <c r="M116" s="406"/>
      <c r="N116" s="399"/>
      <c r="O116" s="1689"/>
      <c r="P116" s="1689"/>
      <c r="AH116" s="1696">
        <v>0</v>
      </c>
    </row>
    <row s="5796" customFormat="1" customHeight="1" ht="18.75" hidden="1">
      <c r="A117" s="1845" t="s">
        <v>239</v>
      </c>
      <c r="B117" s="1845" t="s">
        <v>240</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315</v>
      </c>
      <c r="M117" s="406"/>
      <c r="N117" s="399"/>
      <c r="O117" s="1689"/>
      <c r="P117" s="1689"/>
      <c r="AH117" s="1696">
        <v>0</v>
      </c>
    </row>
    <row s="5796" customFormat="1" customHeight="1" ht="18.75" hidden="1">
      <c r="A118" s="1845"/>
      <c r="B118" s="1845"/>
      <c r="C118" s="434" t="s">
        <v>1166</v>
      </c>
      <c r="D118" s="2527"/>
      <c r="E118" s="2269"/>
      <c r="F118" s="2448"/>
      <c r="G118" s="2492"/>
      <c r="H118" s="1565"/>
      <c r="I118" s="716" t="s">
        <v>1165</v>
      </c>
      <c r="J118" s="636"/>
      <c r="K118" s="1565"/>
      <c r="L118" s="279"/>
      <c r="M118" s="406"/>
      <c r="N118" s="399"/>
      <c r="O118" s="1689"/>
      <c r="P118" s="1689"/>
      <c r="AH118" s="1696">
        <v>0</v>
      </c>
    </row>
    <row s="5796" customFormat="1" customHeight="1" ht="0.75" hidden="1">
      <c r="A119" s="1845"/>
      <c r="B119" s="1845"/>
      <c r="C119" s="434" t="s">
        <v>1173</v>
      </c>
      <c r="D119" s="2527"/>
      <c r="E119" s="2269"/>
      <c r="F119" s="2448"/>
      <c r="G119" s="465"/>
      <c r="H119" s="1565"/>
      <c r="I119" s="716"/>
      <c r="J119" s="636"/>
      <c r="K119" s="1565"/>
      <c r="L119" s="279"/>
      <c r="M119" s="406"/>
      <c r="N119" s="399"/>
      <c r="O119" s="1689"/>
      <c r="P119" s="1689"/>
      <c r="AH119" s="1696">
        <v>0</v>
      </c>
    </row>
    <row s="5796" customFormat="1" customHeight="1" ht="18.75" hidden="1">
      <c r="A120" s="1845" t="s">
        <v>244</v>
      </c>
      <c r="B120" s="1845" t="s">
        <v>245</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315</v>
      </c>
      <c r="M120" s="406"/>
      <c r="N120" s="399"/>
      <c r="O120" s="1689"/>
      <c r="P120" s="1689"/>
      <c r="AH120" s="1696">
        <v>0</v>
      </c>
    </row>
    <row s="5796" customFormat="1" customHeight="1" ht="18.75" hidden="1">
      <c r="A121" s="1845"/>
      <c r="B121" s="1845"/>
      <c r="C121" s="434" t="s">
        <v>1166</v>
      </c>
      <c r="D121" s="2527"/>
      <c r="E121" s="2269"/>
      <c r="F121" s="2448"/>
      <c r="G121" s="2492"/>
      <c r="H121" s="1565"/>
      <c r="I121" s="716" t="s">
        <v>1165</v>
      </c>
      <c r="J121" s="636"/>
      <c r="K121" s="1565"/>
      <c r="L121" s="279"/>
      <c r="M121" s="406"/>
      <c r="N121" s="399"/>
      <c r="O121" s="1689"/>
      <c r="P121" s="1689"/>
      <c r="AH121" s="1696">
        <v>0</v>
      </c>
    </row>
    <row s="5796" customFormat="1" customHeight="1" ht="0.75" hidden="1">
      <c r="A122" s="1845"/>
      <c r="B122" s="1845"/>
      <c r="C122" s="434" t="s">
        <v>1173</v>
      </c>
      <c r="D122" s="2527"/>
      <c r="E122" s="2269"/>
      <c r="F122" s="2448"/>
      <c r="G122" s="465"/>
      <c r="H122" s="1565"/>
      <c r="I122" s="716"/>
      <c r="J122" s="636"/>
      <c r="K122" s="1565"/>
      <c r="L122" s="279"/>
      <c r="M122" s="406"/>
      <c r="N122" s="399"/>
      <c r="O122" s="1689"/>
      <c r="P122" s="1689"/>
      <c r="AH122" s="1696">
        <v>0</v>
      </c>
    </row>
    <row s="5796" customFormat="1" customHeight="1" ht="18.75" hidden="1">
      <c r="A123" s="1845" t="s">
        <v>249</v>
      </c>
      <c r="B123" s="1845" t="s">
        <v>250</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315</v>
      </c>
      <c r="M123" s="406"/>
      <c r="N123" s="399"/>
      <c r="O123" s="1689"/>
      <c r="P123" s="1689"/>
      <c r="AH123" s="1696">
        <v>0</v>
      </c>
    </row>
    <row s="5796" customFormat="1" customHeight="1" ht="18.75" hidden="1">
      <c r="A124" s="1845"/>
      <c r="B124" s="1845"/>
      <c r="C124" s="434" t="s">
        <v>1166</v>
      </c>
      <c r="D124" s="2527"/>
      <c r="E124" s="2269"/>
      <c r="F124" s="2448"/>
      <c r="G124" s="2492"/>
      <c r="H124" s="1565"/>
      <c r="I124" s="716" t="s">
        <v>1165</v>
      </c>
      <c r="J124" s="636"/>
      <c r="K124" s="1565"/>
      <c r="L124" s="279"/>
      <c r="M124" s="406"/>
      <c r="N124" s="399"/>
      <c r="O124" s="1689"/>
      <c r="P124" s="1689"/>
      <c r="AH124" s="1696">
        <v>0</v>
      </c>
    </row>
    <row s="5796" customFormat="1" customHeight="1" ht="0.75" hidden="1">
      <c r="A125" s="1845"/>
      <c r="B125" s="1845"/>
      <c r="C125" s="434" t="s">
        <v>1173</v>
      </c>
      <c r="D125" s="2527"/>
      <c r="E125" s="2269"/>
      <c r="F125" s="2448"/>
      <c r="G125" s="465"/>
      <c r="H125" s="1565"/>
      <c r="I125" s="716"/>
      <c r="J125" s="636"/>
      <c r="K125" s="1565"/>
      <c r="L125" s="279"/>
      <c r="M125" s="406"/>
      <c r="N125" s="399"/>
      <c r="O125" s="1689"/>
      <c r="P125" s="1689"/>
      <c r="AH125" s="1696">
        <v>0</v>
      </c>
    </row>
    <row s="5796" customFormat="1" customHeight="1" ht="18.75" hidden="1">
      <c r="A126" s="1845" t="s">
        <v>254</v>
      </c>
      <c r="B126" s="1845" t="s">
        <v>255</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315</v>
      </c>
      <c r="M126" s="406"/>
      <c r="N126" s="399"/>
      <c r="O126" s="1689"/>
      <c r="P126" s="1689"/>
      <c r="AH126" s="1696">
        <v>0</v>
      </c>
    </row>
    <row s="5796" customFormat="1" customHeight="1" ht="18.75" hidden="1">
      <c r="A127" s="1845"/>
      <c r="B127" s="1845"/>
      <c r="C127" s="434" t="s">
        <v>1166</v>
      </c>
      <c r="D127" s="2527"/>
      <c r="E127" s="2269"/>
      <c r="F127" s="2448"/>
      <c r="G127" s="2492"/>
      <c r="H127" s="1565"/>
      <c r="I127" s="716" t="s">
        <v>1165</v>
      </c>
      <c r="J127" s="636"/>
      <c r="K127" s="1565"/>
      <c r="L127" s="279"/>
      <c r="M127" s="406"/>
      <c r="N127" s="399"/>
      <c r="O127" s="1689"/>
      <c r="P127" s="1689"/>
      <c r="AH127" s="1696">
        <v>0</v>
      </c>
    </row>
    <row s="5796" customFormat="1" customHeight="1" ht="0.75" hidden="1">
      <c r="A128" s="1845"/>
      <c r="B128" s="1845"/>
      <c r="C128" s="434" t="s">
        <v>1173</v>
      </c>
      <c r="D128" s="2527"/>
      <c r="E128" s="2269"/>
      <c r="F128" s="2448"/>
      <c r="G128" s="465"/>
      <c r="H128" s="1565"/>
      <c r="I128" s="716"/>
      <c r="J128" s="636"/>
      <c r="K128" s="1565"/>
      <c r="L128" s="279"/>
      <c r="M128" s="406"/>
      <c r="N128" s="399"/>
      <c r="O128" s="1689"/>
      <c r="P128" s="1689"/>
      <c r="AH128" s="1696">
        <v>0</v>
      </c>
    </row>
    <row s="5796" customFormat="1" customHeight="1" ht="18.75" hidden="1">
      <c r="A129" s="1845" t="s">
        <v>259</v>
      </c>
      <c r="B129" s="1845" t="s">
        <v>260</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315</v>
      </c>
      <c r="M129" s="406"/>
      <c r="N129" s="399"/>
      <c r="O129" s="1689"/>
      <c r="P129" s="1689"/>
      <c r="AH129" s="1696">
        <v>0</v>
      </c>
    </row>
    <row s="5796" customFormat="1" customHeight="1" ht="18.75" hidden="1">
      <c r="A130" s="1845"/>
      <c r="B130" s="1845"/>
      <c r="C130" s="434" t="s">
        <v>1166</v>
      </c>
      <c r="D130" s="2527"/>
      <c r="E130" s="2269"/>
      <c r="F130" s="2448"/>
      <c r="G130" s="2492"/>
      <c r="H130" s="1565"/>
      <c r="I130" s="716" t="s">
        <v>1165</v>
      </c>
      <c r="J130" s="636"/>
      <c r="K130" s="1565"/>
      <c r="L130" s="279"/>
      <c r="M130" s="406"/>
      <c r="N130" s="399"/>
      <c r="O130" s="1689"/>
      <c r="P130" s="1689"/>
      <c r="AH130" s="1696">
        <v>0</v>
      </c>
    </row>
    <row s="5796" customFormat="1" customHeight="1" ht="0.75" hidden="1">
      <c r="A131" s="1845"/>
      <c r="B131" s="1845"/>
      <c r="C131" s="434" t="s">
        <v>1173</v>
      </c>
      <c r="D131" s="2527"/>
      <c r="E131" s="2269"/>
      <c r="F131" s="2448"/>
      <c r="G131" s="465"/>
      <c r="H131" s="1565"/>
      <c r="I131" s="716"/>
      <c r="J131" s="636"/>
      <c r="K131" s="1565"/>
      <c r="L131" s="279"/>
      <c r="M131" s="406"/>
      <c r="N131" s="399"/>
      <c r="O131" s="1689"/>
      <c r="P131" s="1689"/>
      <c r="AH131" s="1696">
        <v>0</v>
      </c>
    </row>
    <row s="5796" customFormat="1" customHeight="1" ht="18.75" hidden="1">
      <c r="A132" s="1845" t="s">
        <v>264</v>
      </c>
      <c r="B132" s="1845" t="s">
        <v>265</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315</v>
      </c>
      <c r="M132" s="406"/>
      <c r="N132" s="399"/>
      <c r="O132" s="1689"/>
      <c r="P132" s="1689"/>
      <c r="AH132" s="1696">
        <v>0</v>
      </c>
    </row>
    <row s="5796" customFormat="1" customHeight="1" ht="18.75" hidden="1">
      <c r="A133" s="1845"/>
      <c r="B133" s="1845"/>
      <c r="C133" s="434" t="s">
        <v>1166</v>
      </c>
      <c r="D133" s="2527"/>
      <c r="E133" s="2269"/>
      <c r="F133" s="2448"/>
      <c r="G133" s="2492"/>
      <c r="H133" s="1565"/>
      <c r="I133" s="716" t="s">
        <v>1165</v>
      </c>
      <c r="J133" s="636"/>
      <c r="K133" s="1565"/>
      <c r="L133" s="279"/>
      <c r="M133" s="406"/>
      <c r="N133" s="399"/>
      <c r="O133" s="1689"/>
      <c r="P133" s="1689"/>
      <c r="AH133" s="1696">
        <v>0</v>
      </c>
    </row>
    <row s="5796" customFormat="1" customHeight="1" ht="0.75" hidden="1">
      <c r="A134" s="1845"/>
      <c r="B134" s="1845"/>
      <c r="C134" s="434" t="s">
        <v>1173</v>
      </c>
      <c r="D134" s="2527"/>
      <c r="E134" s="2269"/>
      <c r="F134" s="2448"/>
      <c r="G134" s="465"/>
      <c r="H134" s="1565"/>
      <c r="I134" s="716"/>
      <c r="J134" s="636"/>
      <c r="K134" s="1565"/>
      <c r="L134" s="279"/>
      <c r="M134" s="406"/>
      <c r="N134" s="399"/>
      <c r="O134" s="1689"/>
      <c r="P134" s="1689"/>
      <c r="AH134" s="1696">
        <v>0</v>
      </c>
    </row>
    <row s="5796" customFormat="1" customHeight="1" ht="18.75" hidden="1">
      <c r="A135" s="1845" t="s">
        <v>269</v>
      </c>
      <c r="B135" s="1845" t="s">
        <v>270</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315</v>
      </c>
      <c r="M135" s="406"/>
      <c r="N135" s="399"/>
      <c r="O135" s="1689"/>
      <c r="P135" s="1689"/>
      <c r="AH135" s="1696">
        <v>0</v>
      </c>
    </row>
    <row s="5796" customFormat="1" customHeight="1" ht="18.75" hidden="1">
      <c r="A136" s="1845"/>
      <c r="B136" s="1845"/>
      <c r="C136" s="434" t="s">
        <v>1166</v>
      </c>
      <c r="D136" s="2527"/>
      <c r="E136" s="2269"/>
      <c r="F136" s="2448"/>
      <c r="G136" s="2492"/>
      <c r="H136" s="1565"/>
      <c r="I136" s="716" t="s">
        <v>1165</v>
      </c>
      <c r="J136" s="636"/>
      <c r="K136" s="1565"/>
      <c r="L136" s="279"/>
      <c r="M136" s="406"/>
      <c r="N136" s="399"/>
      <c r="O136" s="1689"/>
      <c r="P136" s="1689"/>
      <c r="AH136" s="1696">
        <v>0</v>
      </c>
    </row>
    <row s="5796" customFormat="1" customHeight="1" ht="0.75" hidden="1">
      <c r="A137" s="1845"/>
      <c r="B137" s="1845"/>
      <c r="C137" s="434" t="s">
        <v>1173</v>
      </c>
      <c r="D137" s="2527"/>
      <c r="E137" s="2269"/>
      <c r="F137" s="2448"/>
      <c r="G137" s="465"/>
      <c r="H137" s="1565"/>
      <c r="I137" s="716"/>
      <c r="J137" s="636"/>
      <c r="K137" s="1565"/>
      <c r="L137" s="279"/>
      <c r="M137" s="406"/>
      <c r="N137" s="399"/>
      <c r="O137" s="1689"/>
      <c r="P137" s="1689"/>
      <c r="AH137" s="1696">
        <v>0</v>
      </c>
    </row>
    <row s="5796" customFormat="1" customHeight="1" ht="18.75" hidden="1">
      <c r="A138" s="1845" t="s">
        <v>274</v>
      </c>
      <c r="B138" s="1845" t="s">
        <v>275</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315</v>
      </c>
      <c r="M138" s="406"/>
      <c r="N138" s="399"/>
      <c r="O138" s="1689"/>
      <c r="P138" s="1689"/>
      <c r="AH138" s="1696">
        <v>0</v>
      </c>
    </row>
    <row s="5796" customFormat="1" customHeight="1" ht="18.75" hidden="1">
      <c r="A139" s="1845"/>
      <c r="B139" s="1845"/>
      <c r="C139" s="434" t="s">
        <v>1166</v>
      </c>
      <c r="D139" s="2527"/>
      <c r="E139" s="2269"/>
      <c r="F139" s="2448"/>
      <c r="G139" s="2492"/>
      <c r="H139" s="1565"/>
      <c r="I139" s="716" t="s">
        <v>1165</v>
      </c>
      <c r="J139" s="636"/>
      <c r="K139" s="1565"/>
      <c r="L139" s="279"/>
      <c r="M139" s="406"/>
      <c r="N139" s="399"/>
      <c r="O139" s="1689"/>
      <c r="P139" s="1689"/>
      <c r="AH139" s="1696">
        <v>0</v>
      </c>
    </row>
    <row s="5796" customFormat="1" customHeight="1" ht="0.75" hidden="1">
      <c r="A140" s="1845"/>
      <c r="B140" s="1845"/>
      <c r="C140" s="434" t="s">
        <v>1173</v>
      </c>
      <c r="D140" s="2527"/>
      <c r="E140" s="2269"/>
      <c r="F140" s="2448"/>
      <c r="G140" s="465"/>
      <c r="H140" s="1565"/>
      <c r="I140" s="716"/>
      <c r="J140" s="636"/>
      <c r="K140" s="1565"/>
      <c r="L140" s="279"/>
      <c r="M140" s="406"/>
      <c r="N140" s="399"/>
      <c r="O140" s="1689"/>
      <c r="P140" s="1689"/>
      <c r="AH140" s="1696">
        <v>0</v>
      </c>
    </row>
    <row s="5796" customFormat="1" customHeight="1" ht="18.75" hidden="1">
      <c r="A141" s="1845" t="s">
        <v>279</v>
      </c>
      <c r="B141" s="1845" t="s">
        <v>280</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315</v>
      </c>
      <c r="M141" s="406"/>
      <c r="N141" s="399"/>
      <c r="O141" s="1689"/>
      <c r="P141" s="1689"/>
      <c r="AH141" s="1696">
        <v>0</v>
      </c>
    </row>
    <row s="5796" customFormat="1" customHeight="1" ht="18.75" hidden="1">
      <c r="A142" s="1845"/>
      <c r="B142" s="1845"/>
      <c r="C142" s="434" t="s">
        <v>1166</v>
      </c>
      <c r="D142" s="2527"/>
      <c r="E142" s="2269"/>
      <c r="F142" s="2448"/>
      <c r="G142" s="2492"/>
      <c r="H142" s="1565"/>
      <c r="I142" s="716" t="s">
        <v>1165</v>
      </c>
      <c r="J142" s="636"/>
      <c r="K142" s="1565"/>
      <c r="L142" s="279"/>
      <c r="M142" s="406"/>
      <c r="N142" s="399"/>
      <c r="O142" s="1689"/>
      <c r="P142" s="1689"/>
      <c r="AH142" s="1696">
        <v>0</v>
      </c>
    </row>
    <row s="5796" customFormat="1" customHeight="1" ht="0.75" hidden="1">
      <c r="A143" s="1845"/>
      <c r="B143" s="1845"/>
      <c r="C143" s="434" t="s">
        <v>1173</v>
      </c>
      <c r="D143" s="2527"/>
      <c r="E143" s="2269"/>
      <c r="F143" s="2448"/>
      <c r="G143" s="465"/>
      <c r="H143" s="1565"/>
      <c r="I143" s="716"/>
      <c r="J143" s="636"/>
      <c r="K143" s="1565"/>
      <c r="L143" s="279"/>
      <c r="M143" s="406"/>
      <c r="N143" s="399"/>
      <c r="O143" s="1689"/>
      <c r="P143" s="1689"/>
      <c r="AH143" s="1696">
        <v>0</v>
      </c>
    </row>
    <row s="5796" customFormat="1" customHeight="1" ht="18.75" hidden="1">
      <c r="A144" s="1845" t="s">
        <v>284</v>
      </c>
      <c r="B144" s="1845" t="s">
        <v>285</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315</v>
      </c>
      <c r="M144" s="406"/>
      <c r="N144" s="399"/>
      <c r="O144" s="1689"/>
      <c r="P144" s="1689"/>
      <c r="AH144" s="1696">
        <v>0</v>
      </c>
    </row>
    <row s="5796" customFormat="1" customHeight="1" ht="18.75" hidden="1">
      <c r="A145" s="1845"/>
      <c r="B145" s="1845"/>
      <c r="C145" s="434" t="s">
        <v>1166</v>
      </c>
      <c r="D145" s="2527"/>
      <c r="E145" s="2269"/>
      <c r="F145" s="2448"/>
      <c r="G145" s="2492"/>
      <c r="H145" s="1565"/>
      <c r="I145" s="716" t="s">
        <v>1165</v>
      </c>
      <c r="J145" s="636"/>
      <c r="K145" s="1565"/>
      <c r="L145" s="279"/>
      <c r="M145" s="406"/>
      <c r="N145" s="399"/>
      <c r="O145" s="1689"/>
      <c r="P145" s="1689"/>
      <c r="AH145" s="1696">
        <v>0</v>
      </c>
    </row>
    <row s="5796" customFormat="1" customHeight="1" ht="1.05">
      <c r="A146" s="1845"/>
      <c r="B146" s="1845"/>
      <c r="C146" s="434" t="s">
        <v>1173</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5796"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315</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5796" customFormat="1" customHeight="1" ht="18.75" hidden="1">
      <c r="A149" s="1845"/>
      <c r="B149" s="1845"/>
      <c r="C149" s="434" t="s">
        <v>1166</v>
      </c>
      <c r="D149" s="2527"/>
      <c r="E149" s="2269"/>
      <c r="F149" s="2448"/>
      <c r="G149" s="2492"/>
      <c r="H149" s="1565"/>
      <c r="I149" s="716" t="s">
        <v>1165</v>
      </c>
      <c r="J149" s="636"/>
      <c r="K149" s="1565"/>
      <c r="L149" s="279"/>
      <c r="M149" s="2235"/>
      <c r="N149" s="399"/>
      <c r="O149" s="1689"/>
      <c r="P149" s="1689"/>
      <c r="AH149" s="1696">
        <v>0</v>
      </c>
    </row>
    <row s="5796" customFormat="1" customHeight="1" ht="0.75" hidden="1">
      <c r="A150" s="1845"/>
      <c r="B150" s="1845"/>
      <c r="C150" s="434" t="s">
        <v>1173</v>
      </c>
      <c r="D150" s="2527"/>
      <c r="E150" s="2269"/>
      <c r="F150" s="2448"/>
      <c r="G150" s="465"/>
      <c r="H150" s="1565"/>
      <c r="I150" s="716"/>
      <c r="J150" s="636"/>
      <c r="K150" s="1565"/>
      <c r="L150" s="279"/>
      <c r="M150" s="2235"/>
      <c r="N150" s="399"/>
      <c r="O150" s="1689"/>
      <c r="P150" s="1689"/>
      <c r="AH150" s="1696">
        <v>0</v>
      </c>
    </row>
    <row s="5796" customFormat="1" customHeight="1" ht="45" hidden="1">
      <c r="A151" s="1845" t="s">
        <v>165</v>
      </c>
      <c r="B151" s="1845" t="s">
        <v>166</v>
      </c>
      <c r="C151" s="434"/>
      <c r="D151" s="2527"/>
      <c r="E151" s="2269"/>
      <c r="F151" s="2448"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2" t="str">
        <f>INDEX(PT_DIFFERENTIATION_NTAR,MATCH(B151,PT_DIFFERENTIATION_NTAR_ID,0))</f>
        <v/>
      </c>
      <c r="H151" s="1927"/>
      <c r="I151" s="1804"/>
      <c r="J151" s="1838"/>
      <c r="K151" s="1843"/>
      <c r="L151" s="1927" t="s">
        <v>315</v>
      </c>
      <c r="M151" s="2236"/>
      <c r="N151" s="399"/>
      <c r="O151" s="1689"/>
      <c r="P151" s="1689"/>
      <c r="AH151" s="1696">
        <v>0</v>
      </c>
    </row>
    <row s="5796" customFormat="1" customHeight="1" ht="18.75" hidden="1">
      <c r="A152" s="1845"/>
      <c r="B152" s="1845"/>
      <c r="C152" s="434" t="s">
        <v>1166</v>
      </c>
      <c r="D152" s="2527"/>
      <c r="E152" s="2269"/>
      <c r="F152" s="2448"/>
      <c r="G152" s="2492"/>
      <c r="H152" s="1565"/>
      <c r="I152" s="716" t="s">
        <v>1165</v>
      </c>
      <c r="J152" s="636"/>
      <c r="K152" s="1565"/>
      <c r="L152" s="279"/>
      <c r="M152" s="1926"/>
      <c r="N152" s="399"/>
      <c r="O152" s="1689"/>
      <c r="P152" s="1689"/>
      <c r="AH152" s="1696">
        <v>0</v>
      </c>
    </row>
    <row s="5796" customFormat="1" customHeight="1" ht="0.75" hidden="1">
      <c r="A153" s="1845"/>
      <c r="B153" s="1845"/>
      <c r="C153" s="434" t="s">
        <v>1173</v>
      </c>
      <c r="D153" s="2527"/>
      <c r="E153" s="2269"/>
      <c r="F153" s="2448"/>
      <c r="G153" s="465"/>
      <c r="H153" s="1565"/>
      <c r="I153" s="716"/>
      <c r="J153" s="636"/>
      <c r="K153" s="1565"/>
      <c r="L153" s="279"/>
      <c r="M153" s="406"/>
      <c r="N153" s="399"/>
      <c r="O153" s="1689"/>
      <c r="P153" s="1689"/>
      <c r="AH153" s="1696">
        <v>0</v>
      </c>
    </row>
    <row s="5796" customFormat="1" customHeight="1" ht="45" hidden="1">
      <c r="A154" s="1845" t="s">
        <v>177</v>
      </c>
      <c r="B154" s="1845" t="s">
        <v>178</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315</v>
      </c>
      <c r="M154" s="406"/>
      <c r="N154" s="399"/>
      <c r="O154" s="1689"/>
      <c r="P154" s="1689"/>
      <c r="AH154" s="1696">
        <v>0</v>
      </c>
    </row>
    <row s="5796" customFormat="1" customHeight="1" ht="18.75" hidden="1">
      <c r="A155" s="1845"/>
      <c r="B155" s="1845"/>
      <c r="C155" s="434" t="s">
        <v>1166</v>
      </c>
      <c r="D155" s="2527"/>
      <c r="E155" s="2269"/>
      <c r="F155" s="2448"/>
      <c r="G155" s="2492"/>
      <c r="H155" s="1565"/>
      <c r="I155" s="716" t="s">
        <v>1165</v>
      </c>
      <c r="J155" s="636"/>
      <c r="K155" s="1565"/>
      <c r="L155" s="279"/>
      <c r="M155" s="406"/>
      <c r="N155" s="399"/>
      <c r="O155" s="1689"/>
      <c r="P155" s="1689"/>
      <c r="AH155" s="1696">
        <v>0</v>
      </c>
    </row>
    <row s="5796" customFormat="1" customHeight="1" ht="0.75" hidden="1">
      <c r="A156" s="1845"/>
      <c r="B156" s="1845"/>
      <c r="C156" s="434" t="s">
        <v>1173</v>
      </c>
      <c r="D156" s="2527"/>
      <c r="E156" s="2269"/>
      <c r="F156" s="2448"/>
      <c r="G156" s="465"/>
      <c r="H156" s="1565"/>
      <c r="I156" s="716"/>
      <c r="J156" s="636"/>
      <c r="K156" s="1565"/>
      <c r="L156" s="279"/>
      <c r="M156" s="406"/>
      <c r="N156" s="399"/>
      <c r="O156" s="1689"/>
      <c r="P156" s="1689"/>
      <c r="AH156" s="1696">
        <v>0</v>
      </c>
    </row>
    <row s="5796" customFormat="1" customHeight="1" ht="45" hidden="1">
      <c r="A157" s="1845" t="s">
        <v>184</v>
      </c>
      <c r="B157" s="1845" t="s">
        <v>185</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315</v>
      </c>
      <c r="M157" s="406"/>
      <c r="N157" s="399"/>
      <c r="O157" s="1689"/>
      <c r="P157" s="1689"/>
      <c r="AH157" s="1696">
        <v>0</v>
      </c>
    </row>
    <row s="5796" customFormat="1" customHeight="1" ht="18.75" hidden="1">
      <c r="A158" s="1845"/>
      <c r="B158" s="1845"/>
      <c r="C158" s="434" t="s">
        <v>1166</v>
      </c>
      <c r="D158" s="2527"/>
      <c r="E158" s="2269"/>
      <c r="F158" s="2448"/>
      <c r="G158" s="2492"/>
      <c r="H158" s="1565"/>
      <c r="I158" s="716" t="s">
        <v>1165</v>
      </c>
      <c r="J158" s="636"/>
      <c r="K158" s="1565"/>
      <c r="L158" s="279"/>
      <c r="M158" s="406"/>
      <c r="N158" s="399"/>
      <c r="O158" s="1689"/>
      <c r="P158" s="1689"/>
      <c r="AH158" s="1696">
        <v>0</v>
      </c>
    </row>
    <row s="5796" customFormat="1" customHeight="1" ht="0.75" hidden="1">
      <c r="A159" s="1845"/>
      <c r="B159" s="1845"/>
      <c r="C159" s="434" t="s">
        <v>1173</v>
      </c>
      <c r="D159" s="2527"/>
      <c r="E159" s="2269"/>
      <c r="F159" s="2448"/>
      <c r="G159" s="465"/>
      <c r="H159" s="1565"/>
      <c r="I159" s="716"/>
      <c r="J159" s="636"/>
      <c r="K159" s="1565"/>
      <c r="L159" s="279"/>
      <c r="M159" s="406"/>
      <c r="N159" s="399"/>
      <c r="O159" s="1689"/>
      <c r="P159" s="1689"/>
      <c r="AH159" s="1696">
        <v>0</v>
      </c>
    </row>
    <row s="5796" customFormat="1" customHeight="1" ht="18.75" hidden="1">
      <c r="A160" s="1845" t="s">
        <v>190</v>
      </c>
      <c r="B160" s="1845" t="s">
        <v>191</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315</v>
      </c>
      <c r="M160" s="406"/>
      <c r="N160" s="399"/>
      <c r="O160" s="1689"/>
      <c r="P160" s="1689"/>
      <c r="AH160" s="1696">
        <v>0</v>
      </c>
    </row>
    <row s="5796" customFormat="1" customHeight="1" ht="18.75" hidden="1">
      <c r="A161" s="1845"/>
      <c r="B161" s="1845"/>
      <c r="C161" s="434" t="s">
        <v>1166</v>
      </c>
      <c r="D161" s="2527"/>
      <c r="E161" s="2269"/>
      <c r="F161" s="2448"/>
      <c r="G161" s="2492"/>
      <c r="H161" s="1565"/>
      <c r="I161" s="716" t="s">
        <v>1165</v>
      </c>
      <c r="J161" s="636"/>
      <c r="K161" s="1565"/>
      <c r="L161" s="279"/>
      <c r="M161" s="406"/>
      <c r="N161" s="399"/>
      <c r="O161" s="1689"/>
      <c r="P161" s="1689"/>
      <c r="AH161" s="1696">
        <v>0</v>
      </c>
    </row>
    <row s="5796" customFormat="1" customHeight="1" ht="0.75" hidden="1">
      <c r="A162" s="1845"/>
      <c r="B162" s="1845"/>
      <c r="C162" s="434" t="s">
        <v>1173</v>
      </c>
      <c r="D162" s="2527"/>
      <c r="E162" s="2269"/>
      <c r="F162" s="2448"/>
      <c r="G162" s="465"/>
      <c r="H162" s="1565"/>
      <c r="I162" s="716"/>
      <c r="J162" s="636"/>
      <c r="K162" s="1565"/>
      <c r="L162" s="279"/>
      <c r="M162" s="406"/>
      <c r="N162" s="399"/>
      <c r="O162" s="1689"/>
      <c r="P162" s="1689"/>
      <c r="AH162" s="1696">
        <v>0</v>
      </c>
    </row>
    <row s="5796" customFormat="1" customHeight="1" ht="18.75" hidden="1">
      <c r="A163" s="1845" t="s">
        <v>196</v>
      </c>
      <c r="B163" s="1845" t="s">
        <v>197</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315</v>
      </c>
      <c r="M163" s="406"/>
      <c r="N163" s="399"/>
      <c r="O163" s="1689"/>
      <c r="P163" s="1689"/>
      <c r="AH163" s="1696">
        <v>0</v>
      </c>
    </row>
    <row s="5796" customFormat="1" customHeight="1" ht="18.75" hidden="1">
      <c r="A164" s="1845"/>
      <c r="B164" s="1845"/>
      <c r="C164" s="434" t="s">
        <v>1166</v>
      </c>
      <c r="D164" s="2527"/>
      <c r="E164" s="2269"/>
      <c r="F164" s="2448"/>
      <c r="G164" s="2492"/>
      <c r="H164" s="1565"/>
      <c r="I164" s="716" t="s">
        <v>1165</v>
      </c>
      <c r="J164" s="636"/>
      <c r="K164" s="1565"/>
      <c r="L164" s="279"/>
      <c r="M164" s="406"/>
      <c r="N164" s="399"/>
      <c r="O164" s="1689"/>
      <c r="P164" s="1689"/>
      <c r="AH164" s="1696">
        <v>0</v>
      </c>
    </row>
    <row s="5796" customFormat="1" customHeight="1" ht="0.75" hidden="1">
      <c r="A165" s="1845"/>
      <c r="B165" s="1845"/>
      <c r="C165" s="434" t="s">
        <v>1173</v>
      </c>
      <c r="D165" s="2527"/>
      <c r="E165" s="2269"/>
      <c r="F165" s="2448"/>
      <c r="G165" s="465"/>
      <c r="H165" s="1565"/>
      <c r="I165" s="716"/>
      <c r="J165" s="636"/>
      <c r="K165" s="1565"/>
      <c r="L165" s="279"/>
      <c r="M165" s="406"/>
      <c r="N165" s="399"/>
      <c r="O165" s="1689"/>
      <c r="P165" s="1689"/>
      <c r="AH165" s="1696">
        <v>0</v>
      </c>
    </row>
    <row s="5796" customFormat="1" customHeight="1" ht="18.75" hidden="1">
      <c r="A166" s="1845" t="s">
        <v>202</v>
      </c>
      <c r="B166" s="1845" t="s">
        <v>203</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315</v>
      </c>
      <c r="M166" s="406"/>
      <c r="N166" s="399"/>
      <c r="O166" s="1689"/>
      <c r="P166" s="1689"/>
      <c r="AH166" s="1696">
        <v>0</v>
      </c>
    </row>
    <row s="5796" customFormat="1" customHeight="1" ht="18.75" hidden="1">
      <c r="A167" s="1845"/>
      <c r="B167" s="1845"/>
      <c r="C167" s="434" t="s">
        <v>1166</v>
      </c>
      <c r="D167" s="2527"/>
      <c r="E167" s="2269"/>
      <c r="F167" s="2448"/>
      <c r="G167" s="2492"/>
      <c r="H167" s="1565"/>
      <c r="I167" s="716" t="s">
        <v>1165</v>
      </c>
      <c r="J167" s="636"/>
      <c r="K167" s="1565"/>
      <c r="L167" s="279"/>
      <c r="M167" s="406"/>
      <c r="N167" s="399"/>
      <c r="O167" s="1689"/>
      <c r="P167" s="1689"/>
      <c r="AH167" s="1696">
        <v>0</v>
      </c>
    </row>
    <row s="5796" customFormat="1" customHeight="1" ht="0.75" hidden="1">
      <c r="A168" s="1845"/>
      <c r="B168" s="1845"/>
      <c r="C168" s="434" t="s">
        <v>1173</v>
      </c>
      <c r="D168" s="2527"/>
      <c r="E168" s="2269"/>
      <c r="F168" s="2448"/>
      <c r="G168" s="465"/>
      <c r="H168" s="1565"/>
      <c r="I168" s="716"/>
      <c r="J168" s="636"/>
      <c r="K168" s="1565"/>
      <c r="L168" s="279"/>
      <c r="M168" s="406"/>
      <c r="N168" s="399"/>
      <c r="O168" s="1689"/>
      <c r="P168" s="1689"/>
      <c r="AH168" s="1696">
        <v>0</v>
      </c>
    </row>
    <row s="5796" customFormat="1" customHeight="1" ht="18.75" hidden="1">
      <c r="A169" s="1845" t="s">
        <v>208</v>
      </c>
      <c r="B169" s="1845" t="s">
        <v>209</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315</v>
      </c>
      <c r="M169" s="406"/>
      <c r="N169" s="399"/>
      <c r="O169" s="1689"/>
      <c r="P169" s="1689"/>
      <c r="AH169" s="1696">
        <v>0</v>
      </c>
    </row>
    <row s="5796" customFormat="1" customHeight="1" ht="18.75" hidden="1">
      <c r="A170" s="1845"/>
      <c r="B170" s="1845"/>
      <c r="C170" s="434" t="s">
        <v>1166</v>
      </c>
      <c r="D170" s="2527"/>
      <c r="E170" s="2269"/>
      <c r="F170" s="2448"/>
      <c r="G170" s="2492"/>
      <c r="H170" s="1565"/>
      <c r="I170" s="716" t="s">
        <v>1165</v>
      </c>
      <c r="J170" s="636"/>
      <c r="K170" s="1565"/>
      <c r="L170" s="279"/>
      <c r="M170" s="406"/>
      <c r="N170" s="399"/>
      <c r="O170" s="1689"/>
      <c r="P170" s="1689"/>
      <c r="AH170" s="1696">
        <v>0</v>
      </c>
    </row>
    <row s="5796" customFormat="1" customHeight="1" ht="0.75" hidden="1">
      <c r="A171" s="1845"/>
      <c r="B171" s="1845"/>
      <c r="C171" s="434" t="s">
        <v>1173</v>
      </c>
      <c r="D171" s="2527"/>
      <c r="E171" s="2269"/>
      <c r="F171" s="2448"/>
      <c r="G171" s="465"/>
      <c r="H171" s="1565"/>
      <c r="I171" s="716"/>
      <c r="J171" s="636"/>
      <c r="K171" s="1565"/>
      <c r="L171" s="279"/>
      <c r="M171" s="406"/>
      <c r="N171" s="399"/>
      <c r="O171" s="1689"/>
      <c r="P171" s="1689"/>
      <c r="AH171" s="1696">
        <v>0</v>
      </c>
    </row>
    <row s="5796" customFormat="1" customHeight="1" ht="18.75" hidden="1">
      <c r="A172" s="1845" t="s">
        <v>214</v>
      </c>
      <c r="B172" s="1845" t="s">
        <v>215</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315</v>
      </c>
      <c r="M172" s="406"/>
      <c r="N172" s="399"/>
      <c r="O172" s="1689"/>
      <c r="P172" s="1689"/>
      <c r="AH172" s="1696">
        <v>0</v>
      </c>
    </row>
    <row s="5796" customFormat="1" customHeight="1" ht="18.75" hidden="1">
      <c r="A173" s="1845"/>
      <c r="B173" s="1845"/>
      <c r="C173" s="434" t="s">
        <v>1166</v>
      </c>
      <c r="D173" s="2527"/>
      <c r="E173" s="2269"/>
      <c r="F173" s="2448"/>
      <c r="G173" s="2492"/>
      <c r="H173" s="1565"/>
      <c r="I173" s="716" t="s">
        <v>1165</v>
      </c>
      <c r="J173" s="636"/>
      <c r="K173" s="1565"/>
      <c r="L173" s="279"/>
      <c r="M173" s="406"/>
      <c r="N173" s="399"/>
      <c r="O173" s="1689"/>
      <c r="P173" s="1689"/>
      <c r="AH173" s="1696">
        <v>0</v>
      </c>
    </row>
    <row s="5796" customFormat="1" customHeight="1" ht="0.75" hidden="1">
      <c r="A174" s="1845"/>
      <c r="B174" s="1845"/>
      <c r="C174" s="434" t="s">
        <v>1173</v>
      </c>
      <c r="D174" s="2527"/>
      <c r="E174" s="2269"/>
      <c r="F174" s="2448"/>
      <c r="G174" s="465"/>
      <c r="H174" s="1565"/>
      <c r="I174" s="716"/>
      <c r="J174" s="636"/>
      <c r="K174" s="1565"/>
      <c r="L174" s="279"/>
      <c r="M174" s="406"/>
      <c r="N174" s="399"/>
      <c r="O174" s="1689"/>
      <c r="P174" s="1689"/>
      <c r="AH174" s="1696">
        <v>0</v>
      </c>
    </row>
    <row s="5796" customFormat="1" customHeight="1" ht="18.75" hidden="1">
      <c r="A175" s="1845" t="s">
        <v>234</v>
      </c>
      <c r="B175" s="1845" t="s">
        <v>235</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315</v>
      </c>
      <c r="M175" s="406"/>
      <c r="N175" s="399"/>
      <c r="O175" s="1689"/>
      <c r="P175" s="1689"/>
      <c r="AH175" s="1696">
        <v>0</v>
      </c>
    </row>
    <row s="5796" customFormat="1" customHeight="1" ht="18.75" hidden="1">
      <c r="A176" s="1845"/>
      <c r="B176" s="1845"/>
      <c r="C176" s="434" t="s">
        <v>1166</v>
      </c>
      <c r="D176" s="2527"/>
      <c r="E176" s="2269"/>
      <c r="F176" s="2448"/>
      <c r="G176" s="2492"/>
      <c r="H176" s="1565"/>
      <c r="I176" s="716" t="s">
        <v>1165</v>
      </c>
      <c r="J176" s="636"/>
      <c r="K176" s="1565"/>
      <c r="L176" s="279"/>
      <c r="M176" s="406"/>
      <c r="N176" s="399"/>
      <c r="O176" s="1689"/>
      <c r="P176" s="1689"/>
      <c r="AH176" s="1696">
        <v>0</v>
      </c>
    </row>
    <row s="5796" customFormat="1" customHeight="1" ht="0.75" hidden="1">
      <c r="A177" s="1845"/>
      <c r="B177" s="1845"/>
      <c r="C177" s="434" t="s">
        <v>1173</v>
      </c>
      <c r="D177" s="2527"/>
      <c r="E177" s="2269"/>
      <c r="F177" s="2448"/>
      <c r="G177" s="465"/>
      <c r="H177" s="1565"/>
      <c r="I177" s="716"/>
      <c r="J177" s="636"/>
      <c r="K177" s="1565"/>
      <c r="L177" s="279"/>
      <c r="M177" s="406"/>
      <c r="N177" s="399"/>
      <c r="O177" s="1689"/>
      <c r="P177" s="1689"/>
      <c r="AH177" s="1696">
        <v>0</v>
      </c>
    </row>
    <row s="5796" customFormat="1" customHeight="1" ht="18.75" hidden="1">
      <c r="A178" s="1845" t="s">
        <v>239</v>
      </c>
      <c r="B178" s="1845" t="s">
        <v>240</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315</v>
      </c>
      <c r="M178" s="406"/>
      <c r="N178" s="399"/>
      <c r="O178" s="1689"/>
      <c r="P178" s="1689"/>
      <c r="AH178" s="1696">
        <v>0</v>
      </c>
    </row>
    <row s="5796" customFormat="1" customHeight="1" ht="18.75" hidden="1">
      <c r="A179" s="1845"/>
      <c r="B179" s="1845"/>
      <c r="C179" s="434" t="s">
        <v>1166</v>
      </c>
      <c r="D179" s="2527"/>
      <c r="E179" s="2269"/>
      <c r="F179" s="2448"/>
      <c r="G179" s="2492"/>
      <c r="H179" s="1565"/>
      <c r="I179" s="716" t="s">
        <v>1165</v>
      </c>
      <c r="J179" s="636"/>
      <c r="K179" s="1565"/>
      <c r="L179" s="279"/>
      <c r="M179" s="406"/>
      <c r="N179" s="399"/>
      <c r="O179" s="1689"/>
      <c r="P179" s="1689"/>
      <c r="AH179" s="1696">
        <v>0</v>
      </c>
    </row>
    <row s="5796" customFormat="1" customHeight="1" ht="0.75" hidden="1">
      <c r="A180" s="1845"/>
      <c r="B180" s="1845"/>
      <c r="C180" s="434" t="s">
        <v>1173</v>
      </c>
      <c r="D180" s="2527"/>
      <c r="E180" s="2269"/>
      <c r="F180" s="2448"/>
      <c r="G180" s="465"/>
      <c r="H180" s="1565"/>
      <c r="I180" s="716"/>
      <c r="J180" s="636"/>
      <c r="K180" s="1565"/>
      <c r="L180" s="279"/>
      <c r="M180" s="406"/>
      <c r="N180" s="399"/>
      <c r="O180" s="1689"/>
      <c r="P180" s="1689"/>
      <c r="AH180" s="1696">
        <v>0</v>
      </c>
    </row>
    <row s="5796" customFormat="1" customHeight="1" ht="18.75" hidden="1">
      <c r="A181" s="1845" t="s">
        <v>244</v>
      </c>
      <c r="B181" s="1845" t="s">
        <v>245</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315</v>
      </c>
      <c r="M181" s="406"/>
      <c r="N181" s="399"/>
      <c r="O181" s="1689"/>
      <c r="P181" s="1689"/>
      <c r="AH181" s="1696">
        <v>0</v>
      </c>
    </row>
    <row s="5796" customFormat="1" customHeight="1" ht="18.75" hidden="1">
      <c r="A182" s="1845"/>
      <c r="B182" s="1845"/>
      <c r="C182" s="434" t="s">
        <v>1166</v>
      </c>
      <c r="D182" s="2527"/>
      <c r="E182" s="2269"/>
      <c r="F182" s="2448"/>
      <c r="G182" s="2492"/>
      <c r="H182" s="1565"/>
      <c r="I182" s="716" t="s">
        <v>1165</v>
      </c>
      <c r="J182" s="636"/>
      <c r="K182" s="1565"/>
      <c r="L182" s="279"/>
      <c r="M182" s="406"/>
      <c r="N182" s="399"/>
      <c r="O182" s="1689"/>
      <c r="P182" s="1689"/>
      <c r="AH182" s="1696">
        <v>0</v>
      </c>
    </row>
    <row s="5796" customFormat="1" customHeight="1" ht="0.75" hidden="1">
      <c r="A183" s="1845"/>
      <c r="B183" s="1845"/>
      <c r="C183" s="434" t="s">
        <v>1173</v>
      </c>
      <c r="D183" s="2527"/>
      <c r="E183" s="2269"/>
      <c r="F183" s="2448"/>
      <c r="G183" s="465"/>
      <c r="H183" s="1565"/>
      <c r="I183" s="716"/>
      <c r="J183" s="636"/>
      <c r="K183" s="1565"/>
      <c r="L183" s="279"/>
      <c r="M183" s="406"/>
      <c r="N183" s="399"/>
      <c r="O183" s="1689"/>
      <c r="P183" s="1689"/>
      <c r="AH183" s="1696">
        <v>0</v>
      </c>
    </row>
    <row s="5796" customFormat="1" customHeight="1" ht="18.75" hidden="1">
      <c r="A184" s="1845" t="s">
        <v>249</v>
      </c>
      <c r="B184" s="1845" t="s">
        <v>250</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315</v>
      </c>
      <c r="M184" s="406"/>
      <c r="N184" s="399"/>
      <c r="O184" s="1689"/>
      <c r="P184" s="1689"/>
      <c r="AH184" s="1696">
        <v>0</v>
      </c>
    </row>
    <row s="5796" customFormat="1" customHeight="1" ht="18.75" hidden="1">
      <c r="A185" s="1845"/>
      <c r="B185" s="1845"/>
      <c r="C185" s="434" t="s">
        <v>1166</v>
      </c>
      <c r="D185" s="2527"/>
      <c r="E185" s="2269"/>
      <c r="F185" s="2448"/>
      <c r="G185" s="2492"/>
      <c r="H185" s="1565"/>
      <c r="I185" s="716" t="s">
        <v>1165</v>
      </c>
      <c r="J185" s="636"/>
      <c r="K185" s="1565"/>
      <c r="L185" s="279"/>
      <c r="M185" s="406"/>
      <c r="N185" s="399"/>
      <c r="O185" s="1689"/>
      <c r="P185" s="1689"/>
      <c r="AH185" s="1696">
        <v>0</v>
      </c>
    </row>
    <row s="5796" customFormat="1" customHeight="1" ht="0.75" hidden="1">
      <c r="A186" s="1845"/>
      <c r="B186" s="1845"/>
      <c r="C186" s="434" t="s">
        <v>1173</v>
      </c>
      <c r="D186" s="2527"/>
      <c r="E186" s="2269"/>
      <c r="F186" s="2448"/>
      <c r="G186" s="465"/>
      <c r="H186" s="1565"/>
      <c r="I186" s="716"/>
      <c r="J186" s="636"/>
      <c r="K186" s="1565"/>
      <c r="L186" s="279"/>
      <c r="M186" s="406"/>
      <c r="N186" s="399"/>
      <c r="O186" s="1689"/>
      <c r="P186" s="1689"/>
      <c r="AH186" s="1696">
        <v>0</v>
      </c>
    </row>
    <row s="5796" customFormat="1" customHeight="1" ht="18.75" hidden="1">
      <c r="A187" s="1845" t="s">
        <v>254</v>
      </c>
      <c r="B187" s="1845" t="s">
        <v>255</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315</v>
      </c>
      <c r="M187" s="406"/>
      <c r="N187" s="399"/>
      <c r="O187" s="1689"/>
      <c r="P187" s="1689"/>
      <c r="AH187" s="1696">
        <v>0</v>
      </c>
    </row>
    <row s="5796" customFormat="1" customHeight="1" ht="18.75" hidden="1">
      <c r="A188" s="1845"/>
      <c r="B188" s="1845"/>
      <c r="C188" s="434" t="s">
        <v>1166</v>
      </c>
      <c r="D188" s="2527"/>
      <c r="E188" s="2269"/>
      <c r="F188" s="2448"/>
      <c r="G188" s="2492"/>
      <c r="H188" s="1565"/>
      <c r="I188" s="716" t="s">
        <v>1165</v>
      </c>
      <c r="J188" s="636"/>
      <c r="K188" s="1565"/>
      <c r="L188" s="279"/>
      <c r="M188" s="406"/>
      <c r="N188" s="399"/>
      <c r="O188" s="1689"/>
      <c r="P188" s="1689"/>
      <c r="AH188" s="1696">
        <v>0</v>
      </c>
    </row>
    <row s="5796" customFormat="1" customHeight="1" ht="0.75" hidden="1">
      <c r="A189" s="1845"/>
      <c r="B189" s="1845"/>
      <c r="C189" s="434" t="s">
        <v>1173</v>
      </c>
      <c r="D189" s="2527"/>
      <c r="E189" s="2269"/>
      <c r="F189" s="2448"/>
      <c r="G189" s="465"/>
      <c r="H189" s="1565"/>
      <c r="I189" s="716"/>
      <c r="J189" s="636"/>
      <c r="K189" s="1565"/>
      <c r="L189" s="279"/>
      <c r="M189" s="406"/>
      <c r="N189" s="399"/>
      <c r="O189" s="1689"/>
      <c r="P189" s="1689"/>
      <c r="AH189" s="1696">
        <v>0</v>
      </c>
    </row>
    <row s="5796" customFormat="1" customHeight="1" ht="18.75" hidden="1">
      <c r="A190" s="1845" t="s">
        <v>259</v>
      </c>
      <c r="B190" s="1845" t="s">
        <v>260</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315</v>
      </c>
      <c r="M190" s="406"/>
      <c r="N190" s="399"/>
      <c r="O190" s="1689"/>
      <c r="P190" s="1689"/>
      <c r="AH190" s="1696">
        <v>0</v>
      </c>
    </row>
    <row s="5796" customFormat="1" customHeight="1" ht="18.75" hidden="1">
      <c r="A191" s="1845"/>
      <c r="B191" s="1845"/>
      <c r="C191" s="434" t="s">
        <v>1166</v>
      </c>
      <c r="D191" s="2527"/>
      <c r="E191" s="2269"/>
      <c r="F191" s="2448"/>
      <c r="G191" s="2492"/>
      <c r="H191" s="1565"/>
      <c r="I191" s="716" t="s">
        <v>1165</v>
      </c>
      <c r="J191" s="636"/>
      <c r="K191" s="1565"/>
      <c r="L191" s="279"/>
      <c r="M191" s="406"/>
      <c r="N191" s="399"/>
      <c r="O191" s="1689"/>
      <c r="P191" s="1689"/>
      <c r="AH191" s="1696">
        <v>0</v>
      </c>
    </row>
    <row s="5796" customFormat="1" customHeight="1" ht="0.75" hidden="1">
      <c r="A192" s="1845"/>
      <c r="B192" s="1845"/>
      <c r="C192" s="434" t="s">
        <v>1173</v>
      </c>
      <c r="D192" s="2527"/>
      <c r="E192" s="2269"/>
      <c r="F192" s="2448"/>
      <c r="G192" s="465"/>
      <c r="H192" s="1565"/>
      <c r="I192" s="716"/>
      <c r="J192" s="636"/>
      <c r="K192" s="1565"/>
      <c r="L192" s="279"/>
      <c r="M192" s="406"/>
      <c r="N192" s="399"/>
      <c r="O192" s="1689"/>
      <c r="P192" s="1689"/>
      <c r="AH192" s="1696">
        <v>0</v>
      </c>
    </row>
    <row s="5796" customFormat="1" customHeight="1" ht="18.75" hidden="1">
      <c r="A193" s="1845" t="s">
        <v>264</v>
      </c>
      <c r="B193" s="1845" t="s">
        <v>265</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315</v>
      </c>
      <c r="M193" s="406"/>
      <c r="N193" s="399"/>
      <c r="O193" s="1689"/>
      <c r="P193" s="1689"/>
      <c r="AH193" s="1696">
        <v>0</v>
      </c>
    </row>
    <row s="5796" customFormat="1" customHeight="1" ht="18.75" hidden="1">
      <c r="A194" s="1845"/>
      <c r="B194" s="1845"/>
      <c r="C194" s="434" t="s">
        <v>1166</v>
      </c>
      <c r="D194" s="2527"/>
      <c r="E194" s="2269"/>
      <c r="F194" s="2448"/>
      <c r="G194" s="2492"/>
      <c r="H194" s="1565"/>
      <c r="I194" s="716" t="s">
        <v>1165</v>
      </c>
      <c r="J194" s="636"/>
      <c r="K194" s="1565"/>
      <c r="L194" s="279"/>
      <c r="M194" s="406"/>
      <c r="N194" s="399"/>
      <c r="O194" s="1689"/>
      <c r="P194" s="1689"/>
      <c r="AH194" s="1696">
        <v>0</v>
      </c>
    </row>
    <row s="5796" customFormat="1" customHeight="1" ht="0.75" hidden="1">
      <c r="A195" s="1845"/>
      <c r="B195" s="1845"/>
      <c r="C195" s="434" t="s">
        <v>1173</v>
      </c>
      <c r="D195" s="2527"/>
      <c r="E195" s="2269"/>
      <c r="F195" s="2448"/>
      <c r="G195" s="465"/>
      <c r="H195" s="1565"/>
      <c r="I195" s="716"/>
      <c r="J195" s="636"/>
      <c r="K195" s="1565"/>
      <c r="L195" s="279"/>
      <c r="M195" s="406"/>
      <c r="N195" s="399"/>
      <c r="O195" s="1689"/>
      <c r="P195" s="1689"/>
      <c r="AH195" s="1696">
        <v>0</v>
      </c>
    </row>
    <row s="5796" customFormat="1" customHeight="1" ht="18.75" hidden="1">
      <c r="A196" s="1845" t="s">
        <v>269</v>
      </c>
      <c r="B196" s="1845" t="s">
        <v>270</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315</v>
      </c>
      <c r="M196" s="406"/>
      <c r="N196" s="399"/>
      <c r="O196" s="1689"/>
      <c r="P196" s="1689"/>
      <c r="AH196" s="1696">
        <v>0</v>
      </c>
    </row>
    <row s="5796" customFormat="1" customHeight="1" ht="18.75" hidden="1">
      <c r="A197" s="1845"/>
      <c r="B197" s="1845"/>
      <c r="C197" s="434" t="s">
        <v>1166</v>
      </c>
      <c r="D197" s="2527"/>
      <c r="E197" s="2269"/>
      <c r="F197" s="2448"/>
      <c r="G197" s="2492"/>
      <c r="H197" s="1565"/>
      <c r="I197" s="716" t="s">
        <v>1165</v>
      </c>
      <c r="J197" s="636"/>
      <c r="K197" s="1565"/>
      <c r="L197" s="279"/>
      <c r="M197" s="406"/>
      <c r="N197" s="399"/>
      <c r="O197" s="1689"/>
      <c r="P197" s="1689"/>
      <c r="AH197" s="1696">
        <v>0</v>
      </c>
    </row>
    <row s="5796" customFormat="1" customHeight="1" ht="0.75" hidden="1">
      <c r="A198" s="1845"/>
      <c r="B198" s="1845"/>
      <c r="C198" s="434" t="s">
        <v>1173</v>
      </c>
      <c r="D198" s="2527"/>
      <c r="E198" s="2269"/>
      <c r="F198" s="2448"/>
      <c r="G198" s="465"/>
      <c r="H198" s="1565"/>
      <c r="I198" s="716"/>
      <c r="J198" s="636"/>
      <c r="K198" s="1565"/>
      <c r="L198" s="279"/>
      <c r="M198" s="406"/>
      <c r="N198" s="399"/>
      <c r="O198" s="1689"/>
      <c r="P198" s="1689"/>
      <c r="AH198" s="1696">
        <v>0</v>
      </c>
    </row>
    <row s="5796" customFormat="1" customHeight="1" ht="18.75" hidden="1">
      <c r="A199" s="1845" t="s">
        <v>274</v>
      </c>
      <c r="B199" s="1845" t="s">
        <v>275</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315</v>
      </c>
      <c r="M199" s="406"/>
      <c r="N199" s="399"/>
      <c r="O199" s="1689"/>
      <c r="P199" s="1689"/>
      <c r="AH199" s="1696">
        <v>0</v>
      </c>
    </row>
    <row s="5796" customFormat="1" customHeight="1" ht="18.75" hidden="1">
      <c r="A200" s="1845"/>
      <c r="B200" s="1845"/>
      <c r="C200" s="434" t="s">
        <v>1166</v>
      </c>
      <c r="D200" s="2527"/>
      <c r="E200" s="2269"/>
      <c r="F200" s="2448"/>
      <c r="G200" s="2492"/>
      <c r="H200" s="1565"/>
      <c r="I200" s="716" t="s">
        <v>1165</v>
      </c>
      <c r="J200" s="636"/>
      <c r="K200" s="1565"/>
      <c r="L200" s="279"/>
      <c r="M200" s="406"/>
      <c r="N200" s="399"/>
      <c r="O200" s="1689"/>
      <c r="P200" s="1689"/>
      <c r="AH200" s="1696">
        <v>0</v>
      </c>
    </row>
    <row s="5796" customFormat="1" customHeight="1" ht="0.75" hidden="1">
      <c r="A201" s="1845"/>
      <c r="B201" s="1845"/>
      <c r="C201" s="434" t="s">
        <v>1173</v>
      </c>
      <c r="D201" s="2527"/>
      <c r="E201" s="2269"/>
      <c r="F201" s="2448"/>
      <c r="G201" s="465"/>
      <c r="H201" s="1565"/>
      <c r="I201" s="716"/>
      <c r="J201" s="636"/>
      <c r="K201" s="1565"/>
      <c r="L201" s="279"/>
      <c r="M201" s="406"/>
      <c r="N201" s="399"/>
      <c r="O201" s="1689"/>
      <c r="P201" s="1689"/>
      <c r="AH201" s="1696">
        <v>0</v>
      </c>
    </row>
    <row s="5796" customFormat="1" customHeight="1" ht="18.75" hidden="1">
      <c r="A202" s="1845" t="s">
        <v>279</v>
      </c>
      <c r="B202" s="1845" t="s">
        <v>280</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315</v>
      </c>
      <c r="M202" s="406"/>
      <c r="N202" s="399"/>
      <c r="O202" s="1689"/>
      <c r="P202" s="1689"/>
      <c r="AH202" s="1696">
        <v>0</v>
      </c>
    </row>
    <row s="5796" customFormat="1" customHeight="1" ht="18.75" hidden="1">
      <c r="A203" s="1845"/>
      <c r="B203" s="1845"/>
      <c r="C203" s="434" t="s">
        <v>1166</v>
      </c>
      <c r="D203" s="2527"/>
      <c r="E203" s="2269"/>
      <c r="F203" s="2448"/>
      <c r="G203" s="2492"/>
      <c r="H203" s="1565"/>
      <c r="I203" s="716" t="s">
        <v>1165</v>
      </c>
      <c r="J203" s="636"/>
      <c r="K203" s="1565"/>
      <c r="L203" s="279"/>
      <c r="M203" s="406"/>
      <c r="N203" s="399"/>
      <c r="O203" s="1689"/>
      <c r="P203" s="1689"/>
      <c r="AH203" s="1696">
        <v>0</v>
      </c>
    </row>
    <row s="5796" customFormat="1" customHeight="1" ht="0.75" hidden="1">
      <c r="A204" s="1845"/>
      <c r="B204" s="1845"/>
      <c r="C204" s="434" t="s">
        <v>1173</v>
      </c>
      <c r="D204" s="2527"/>
      <c r="E204" s="2269"/>
      <c r="F204" s="2448"/>
      <c r="G204" s="465"/>
      <c r="H204" s="1565"/>
      <c r="I204" s="716"/>
      <c r="J204" s="636"/>
      <c r="K204" s="1565"/>
      <c r="L204" s="279"/>
      <c r="M204" s="406"/>
      <c r="N204" s="399"/>
      <c r="O204" s="1689"/>
      <c r="P204" s="1689"/>
      <c r="AH204" s="1696">
        <v>0</v>
      </c>
    </row>
    <row s="5796" customFormat="1" customHeight="1" ht="18.75" hidden="1">
      <c r="A205" s="1845" t="s">
        <v>284</v>
      </c>
      <c r="B205" s="1845" t="s">
        <v>285</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315</v>
      </c>
      <c r="M205" s="406"/>
      <c r="N205" s="399"/>
      <c r="O205" s="1689"/>
      <c r="P205" s="1689"/>
      <c r="AH205" s="1696">
        <v>0</v>
      </c>
    </row>
    <row s="5796" customFormat="1" customHeight="1" ht="18.75" hidden="1">
      <c r="A206" s="1845"/>
      <c r="B206" s="1845"/>
      <c r="C206" s="434" t="s">
        <v>1166</v>
      </c>
      <c r="D206" s="2527"/>
      <c r="E206" s="2269"/>
      <c r="F206" s="2448"/>
      <c r="G206" s="2492"/>
      <c r="H206" s="1565"/>
      <c r="I206" s="716" t="s">
        <v>1165</v>
      </c>
      <c r="J206" s="636"/>
      <c r="K206" s="1565"/>
      <c r="L206" s="279"/>
      <c r="M206" s="406"/>
      <c r="N206" s="399"/>
      <c r="O206" s="1689"/>
      <c r="P206" s="1689"/>
      <c r="AH206" s="1696">
        <v>0</v>
      </c>
    </row>
    <row s="5796" customFormat="1" customHeight="1" ht="1.05">
      <c r="A207" s="1845"/>
      <c r="B207" s="1845"/>
      <c r="C207" s="434" t="s">
        <v>1173</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5796"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315</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5796" customFormat="1" customHeight="1" ht="18.75" hidden="1">
      <c r="A210" s="1845"/>
      <c r="B210" s="1845"/>
      <c r="C210" s="434" t="s">
        <v>1166</v>
      </c>
      <c r="D210" s="2527"/>
      <c r="E210" s="2269"/>
      <c r="F210" s="2448"/>
      <c r="G210" s="2492"/>
      <c r="H210" s="1565"/>
      <c r="I210" s="716" t="s">
        <v>1165</v>
      </c>
      <c r="J210" s="636"/>
      <c r="K210" s="1565"/>
      <c r="L210" s="279"/>
      <c r="M210" s="2235"/>
      <c r="N210" s="399"/>
      <c r="O210" s="1689"/>
      <c r="P210" s="1689"/>
      <c r="AH210" s="1696">
        <v>0</v>
      </c>
    </row>
    <row s="5796" customFormat="1" customHeight="1" ht="0.75" hidden="1">
      <c r="A211" s="1845"/>
      <c r="B211" s="1845"/>
      <c r="C211" s="434" t="s">
        <v>1173</v>
      </c>
      <c r="D211" s="2527"/>
      <c r="E211" s="2269"/>
      <c r="F211" s="2448"/>
      <c r="G211" s="465"/>
      <c r="H211" s="1565"/>
      <c r="I211" s="716"/>
      <c r="J211" s="636"/>
      <c r="K211" s="1565"/>
      <c r="L211" s="279"/>
      <c r="M211" s="2235"/>
      <c r="N211" s="399"/>
      <c r="O211" s="1689"/>
      <c r="P211" s="1689"/>
      <c r="AH211" s="1696">
        <v>0</v>
      </c>
    </row>
    <row s="5796" customFormat="1" customHeight="1" ht="45" hidden="1">
      <c r="A212" s="1845" t="s">
        <v>165</v>
      </c>
      <c r="B212" s="1845" t="s">
        <v>166</v>
      </c>
      <c r="C212" s="434"/>
      <c r="D212" s="2527"/>
      <c r="E212" s="2269"/>
      <c r="F212" s="2448"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2" t="str">
        <f>INDEX(PT_DIFFERENTIATION_NTAR,MATCH(B212,PT_DIFFERENTIATION_NTAR_ID,0))</f>
        <v/>
      </c>
      <c r="H212" s="1927"/>
      <c r="I212" s="1804"/>
      <c r="J212" s="1838"/>
      <c r="K212" s="1843"/>
      <c r="L212" s="1927" t="s">
        <v>315</v>
      </c>
      <c r="M212" s="2236"/>
      <c r="N212" s="399"/>
      <c r="O212" s="1689"/>
      <c r="P212" s="1689"/>
      <c r="AH212" s="1696">
        <v>0</v>
      </c>
    </row>
    <row s="5796" customFormat="1" customHeight="1" ht="18.75" hidden="1">
      <c r="A213" s="1845"/>
      <c r="B213" s="1845"/>
      <c r="C213" s="434" t="s">
        <v>1166</v>
      </c>
      <c r="D213" s="2527"/>
      <c r="E213" s="2269"/>
      <c r="F213" s="2448"/>
      <c r="G213" s="2492"/>
      <c r="H213" s="1565"/>
      <c r="I213" s="716" t="s">
        <v>1165</v>
      </c>
      <c r="J213" s="636"/>
      <c r="K213" s="1565"/>
      <c r="L213" s="279"/>
      <c r="M213" s="1926"/>
      <c r="N213" s="399"/>
      <c r="O213" s="1689"/>
      <c r="P213" s="1689"/>
      <c r="AH213" s="1696">
        <v>0</v>
      </c>
    </row>
    <row s="5796" customFormat="1" customHeight="1" ht="0.75" hidden="1">
      <c r="A214" s="1845"/>
      <c r="B214" s="1845"/>
      <c r="C214" s="434" t="s">
        <v>1173</v>
      </c>
      <c r="D214" s="2527"/>
      <c r="E214" s="2269"/>
      <c r="F214" s="2448"/>
      <c r="G214" s="465"/>
      <c r="H214" s="1565"/>
      <c r="I214" s="716"/>
      <c r="J214" s="636"/>
      <c r="K214" s="1565"/>
      <c r="L214" s="279"/>
      <c r="M214" s="406"/>
      <c r="N214" s="399"/>
      <c r="O214" s="1689"/>
      <c r="P214" s="1689"/>
      <c r="AH214" s="1696">
        <v>0</v>
      </c>
    </row>
    <row s="5796" customFormat="1" customHeight="1" ht="45" hidden="1">
      <c r="A215" s="1845" t="s">
        <v>177</v>
      </c>
      <c r="B215" s="1845" t="s">
        <v>178</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315</v>
      </c>
      <c r="M215" s="406"/>
      <c r="N215" s="399"/>
      <c r="O215" s="1689"/>
      <c r="P215" s="1689"/>
      <c r="AH215" s="1696">
        <v>0</v>
      </c>
    </row>
    <row s="5796" customFormat="1" customHeight="1" ht="18.75" hidden="1">
      <c r="A216" s="1845"/>
      <c r="B216" s="1845"/>
      <c r="C216" s="434" t="s">
        <v>1166</v>
      </c>
      <c r="D216" s="2527"/>
      <c r="E216" s="2269"/>
      <c r="F216" s="2448"/>
      <c r="G216" s="2492"/>
      <c r="H216" s="1565"/>
      <c r="I216" s="716" t="s">
        <v>1165</v>
      </c>
      <c r="J216" s="636"/>
      <c r="K216" s="1565"/>
      <c r="L216" s="279"/>
      <c r="M216" s="406"/>
      <c r="N216" s="399"/>
      <c r="O216" s="1689"/>
      <c r="P216" s="1689"/>
      <c r="AH216" s="1696">
        <v>0</v>
      </c>
    </row>
    <row s="5796" customFormat="1" customHeight="1" ht="0.75" hidden="1">
      <c r="A217" s="1845"/>
      <c r="B217" s="1845"/>
      <c r="C217" s="434" t="s">
        <v>1173</v>
      </c>
      <c r="D217" s="2527"/>
      <c r="E217" s="2269"/>
      <c r="F217" s="2448"/>
      <c r="G217" s="465"/>
      <c r="H217" s="1565"/>
      <c r="I217" s="716"/>
      <c r="J217" s="636"/>
      <c r="K217" s="1565"/>
      <c r="L217" s="279"/>
      <c r="M217" s="406"/>
      <c r="N217" s="399"/>
      <c r="O217" s="1689"/>
      <c r="P217" s="1689"/>
      <c r="AH217" s="1696">
        <v>0</v>
      </c>
    </row>
    <row s="5796" customFormat="1" customHeight="1" ht="45" hidden="1">
      <c r="A218" s="1845" t="s">
        <v>184</v>
      </c>
      <c r="B218" s="1845" t="s">
        <v>185</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315</v>
      </c>
      <c r="M218" s="406"/>
      <c r="N218" s="399"/>
      <c r="O218" s="1689"/>
      <c r="P218" s="1689"/>
      <c r="AH218" s="1696">
        <v>0</v>
      </c>
    </row>
    <row s="5796" customFormat="1" customHeight="1" ht="18.75" hidden="1">
      <c r="A219" s="1845"/>
      <c r="B219" s="1845"/>
      <c r="C219" s="434" t="s">
        <v>1166</v>
      </c>
      <c r="D219" s="2527"/>
      <c r="E219" s="2269"/>
      <c r="F219" s="2448"/>
      <c r="G219" s="2492"/>
      <c r="H219" s="1565"/>
      <c r="I219" s="716" t="s">
        <v>1165</v>
      </c>
      <c r="J219" s="636"/>
      <c r="K219" s="1565"/>
      <c r="L219" s="279"/>
      <c r="M219" s="406"/>
      <c r="N219" s="399"/>
      <c r="O219" s="1689"/>
      <c r="P219" s="1689"/>
      <c r="AH219" s="1696">
        <v>0</v>
      </c>
    </row>
    <row s="5796" customFormat="1" customHeight="1" ht="0.75" hidden="1">
      <c r="A220" s="1845"/>
      <c r="B220" s="1845"/>
      <c r="C220" s="434" t="s">
        <v>1173</v>
      </c>
      <c r="D220" s="2527"/>
      <c r="E220" s="2269"/>
      <c r="F220" s="2448"/>
      <c r="G220" s="465"/>
      <c r="H220" s="1565"/>
      <c r="I220" s="716"/>
      <c r="J220" s="636"/>
      <c r="K220" s="1565"/>
      <c r="L220" s="279"/>
      <c r="M220" s="406"/>
      <c r="N220" s="399"/>
      <c r="O220" s="1689"/>
      <c r="P220" s="1689"/>
      <c r="AH220" s="1696">
        <v>0</v>
      </c>
    </row>
    <row s="5796" customFormat="1" customHeight="1" ht="18.75" hidden="1">
      <c r="A221" s="1845" t="s">
        <v>190</v>
      </c>
      <c r="B221" s="1845" t="s">
        <v>191</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315</v>
      </c>
      <c r="M221" s="406"/>
      <c r="N221" s="399"/>
      <c r="O221" s="1689"/>
      <c r="P221" s="1689"/>
      <c r="AH221" s="1696">
        <v>0</v>
      </c>
    </row>
    <row s="5796" customFormat="1" customHeight="1" ht="18.75" hidden="1">
      <c r="A222" s="1845"/>
      <c r="B222" s="1845"/>
      <c r="C222" s="434" t="s">
        <v>1166</v>
      </c>
      <c r="D222" s="2527"/>
      <c r="E222" s="2269"/>
      <c r="F222" s="2448"/>
      <c r="G222" s="2492"/>
      <c r="H222" s="1565"/>
      <c r="I222" s="716" t="s">
        <v>1165</v>
      </c>
      <c r="J222" s="636"/>
      <c r="K222" s="1565"/>
      <c r="L222" s="279"/>
      <c r="M222" s="406"/>
      <c r="N222" s="399"/>
      <c r="O222" s="1689"/>
      <c r="P222" s="1689"/>
      <c r="AH222" s="1696">
        <v>0</v>
      </c>
    </row>
    <row s="5796" customFormat="1" customHeight="1" ht="0.75" hidden="1">
      <c r="A223" s="1845"/>
      <c r="B223" s="1845"/>
      <c r="C223" s="434" t="s">
        <v>1173</v>
      </c>
      <c r="D223" s="2527"/>
      <c r="E223" s="2269"/>
      <c r="F223" s="2448"/>
      <c r="G223" s="465"/>
      <c r="H223" s="1565"/>
      <c r="I223" s="716"/>
      <c r="J223" s="636"/>
      <c r="K223" s="1565"/>
      <c r="L223" s="279"/>
      <c r="M223" s="406"/>
      <c r="N223" s="399"/>
      <c r="O223" s="1689"/>
      <c r="P223" s="1689"/>
      <c r="AH223" s="1696">
        <v>0</v>
      </c>
    </row>
    <row s="5796" customFormat="1" customHeight="1" ht="18.75" hidden="1">
      <c r="A224" s="1845" t="s">
        <v>196</v>
      </c>
      <c r="B224" s="1845" t="s">
        <v>197</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315</v>
      </c>
      <c r="M224" s="406"/>
      <c r="N224" s="399"/>
      <c r="O224" s="1689"/>
      <c r="P224" s="1689"/>
      <c r="AH224" s="1696">
        <v>0</v>
      </c>
    </row>
    <row s="5796" customFormat="1" customHeight="1" ht="18.75" hidden="1">
      <c r="A225" s="1845"/>
      <c r="B225" s="1845"/>
      <c r="C225" s="434" t="s">
        <v>1166</v>
      </c>
      <c r="D225" s="2527"/>
      <c r="E225" s="2269"/>
      <c r="F225" s="2448"/>
      <c r="G225" s="2492"/>
      <c r="H225" s="1565"/>
      <c r="I225" s="716" t="s">
        <v>1165</v>
      </c>
      <c r="J225" s="636"/>
      <c r="K225" s="1565"/>
      <c r="L225" s="279"/>
      <c r="M225" s="406"/>
      <c r="N225" s="399"/>
      <c r="O225" s="1689"/>
      <c r="P225" s="1689"/>
      <c r="AH225" s="1696">
        <v>0</v>
      </c>
    </row>
    <row s="5796" customFormat="1" customHeight="1" ht="0.75" hidden="1">
      <c r="A226" s="1845"/>
      <c r="B226" s="1845"/>
      <c r="C226" s="434" t="s">
        <v>1173</v>
      </c>
      <c r="D226" s="2527"/>
      <c r="E226" s="2269"/>
      <c r="F226" s="2448"/>
      <c r="G226" s="465"/>
      <c r="H226" s="1565"/>
      <c r="I226" s="716"/>
      <c r="J226" s="636"/>
      <c r="K226" s="1565"/>
      <c r="L226" s="279"/>
      <c r="M226" s="406"/>
      <c r="N226" s="399"/>
      <c r="O226" s="1689"/>
      <c r="P226" s="1689"/>
      <c r="AH226" s="1696">
        <v>0</v>
      </c>
    </row>
    <row s="5796" customFormat="1" customHeight="1" ht="18.75" hidden="1">
      <c r="A227" s="1845" t="s">
        <v>202</v>
      </c>
      <c r="B227" s="1845" t="s">
        <v>203</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315</v>
      </c>
      <c r="M227" s="406"/>
      <c r="N227" s="399"/>
      <c r="O227" s="1689"/>
      <c r="P227" s="1689"/>
      <c r="AH227" s="1696">
        <v>0</v>
      </c>
    </row>
    <row s="5796" customFormat="1" customHeight="1" ht="18.75" hidden="1">
      <c r="A228" s="1845"/>
      <c r="B228" s="1845"/>
      <c r="C228" s="434" t="s">
        <v>1166</v>
      </c>
      <c r="D228" s="2527"/>
      <c r="E228" s="2269"/>
      <c r="F228" s="2448"/>
      <c r="G228" s="2492"/>
      <c r="H228" s="1565"/>
      <c r="I228" s="716" t="s">
        <v>1165</v>
      </c>
      <c r="J228" s="636"/>
      <c r="K228" s="1565"/>
      <c r="L228" s="279"/>
      <c r="M228" s="406"/>
      <c r="N228" s="399"/>
      <c r="O228" s="1689"/>
      <c r="P228" s="1689"/>
      <c r="AH228" s="1696">
        <v>0</v>
      </c>
    </row>
    <row s="5796" customFormat="1" customHeight="1" ht="0.75" hidden="1">
      <c r="A229" s="1845"/>
      <c r="B229" s="1845"/>
      <c r="C229" s="434" t="s">
        <v>1173</v>
      </c>
      <c r="D229" s="2527"/>
      <c r="E229" s="2269"/>
      <c r="F229" s="2448"/>
      <c r="G229" s="465"/>
      <c r="H229" s="1565"/>
      <c r="I229" s="716"/>
      <c r="J229" s="636"/>
      <c r="K229" s="1565"/>
      <c r="L229" s="279"/>
      <c r="M229" s="406"/>
      <c r="N229" s="399"/>
      <c r="O229" s="1689"/>
      <c r="P229" s="1689"/>
      <c r="AH229" s="1696">
        <v>0</v>
      </c>
    </row>
    <row s="5796" customFormat="1" customHeight="1" ht="18.75" hidden="1">
      <c r="A230" s="1845" t="s">
        <v>208</v>
      </c>
      <c r="B230" s="1845" t="s">
        <v>209</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315</v>
      </c>
      <c r="M230" s="406"/>
      <c r="N230" s="399"/>
      <c r="O230" s="1689"/>
      <c r="P230" s="1689"/>
      <c r="AH230" s="1696">
        <v>0</v>
      </c>
    </row>
    <row s="5796" customFormat="1" customHeight="1" ht="18.75" hidden="1">
      <c r="A231" s="1845"/>
      <c r="B231" s="1845"/>
      <c r="C231" s="434" t="s">
        <v>1166</v>
      </c>
      <c r="D231" s="2527"/>
      <c r="E231" s="2269"/>
      <c r="F231" s="2448"/>
      <c r="G231" s="2492"/>
      <c r="H231" s="1565"/>
      <c r="I231" s="716" t="s">
        <v>1165</v>
      </c>
      <c r="J231" s="636"/>
      <c r="K231" s="1565"/>
      <c r="L231" s="279"/>
      <c r="M231" s="406"/>
      <c r="N231" s="399"/>
      <c r="O231" s="1689"/>
      <c r="P231" s="1689"/>
      <c r="AH231" s="1696">
        <v>0</v>
      </c>
    </row>
    <row s="5796" customFormat="1" customHeight="1" ht="0.75" hidden="1">
      <c r="A232" s="1845"/>
      <c r="B232" s="1845"/>
      <c r="C232" s="434" t="s">
        <v>1173</v>
      </c>
      <c r="D232" s="2527"/>
      <c r="E232" s="2269"/>
      <c r="F232" s="2448"/>
      <c r="G232" s="465"/>
      <c r="H232" s="1565"/>
      <c r="I232" s="716"/>
      <c r="J232" s="636"/>
      <c r="K232" s="1565"/>
      <c r="L232" s="279"/>
      <c r="M232" s="406"/>
      <c r="N232" s="399"/>
      <c r="O232" s="1689"/>
      <c r="P232" s="1689"/>
      <c r="AH232" s="1696">
        <v>0</v>
      </c>
    </row>
    <row s="5796" customFormat="1" customHeight="1" ht="18.75" hidden="1">
      <c r="A233" s="1845" t="s">
        <v>214</v>
      </c>
      <c r="B233" s="1845" t="s">
        <v>215</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315</v>
      </c>
      <c r="M233" s="406"/>
      <c r="N233" s="399"/>
      <c r="O233" s="1689"/>
      <c r="P233" s="1689"/>
      <c r="AH233" s="1696">
        <v>0</v>
      </c>
    </row>
    <row s="5796" customFormat="1" customHeight="1" ht="18.75" hidden="1">
      <c r="A234" s="1845"/>
      <c r="B234" s="1845"/>
      <c r="C234" s="434" t="s">
        <v>1166</v>
      </c>
      <c r="D234" s="2527"/>
      <c r="E234" s="2269"/>
      <c r="F234" s="2448"/>
      <c r="G234" s="2492"/>
      <c r="H234" s="1565"/>
      <c r="I234" s="716" t="s">
        <v>1165</v>
      </c>
      <c r="J234" s="636"/>
      <c r="K234" s="1565"/>
      <c r="L234" s="279"/>
      <c r="M234" s="406"/>
      <c r="N234" s="399"/>
      <c r="O234" s="1689"/>
      <c r="P234" s="1689"/>
      <c r="AH234" s="1696">
        <v>0</v>
      </c>
    </row>
    <row s="5796" customFormat="1" customHeight="1" ht="0.75" hidden="1">
      <c r="A235" s="1845"/>
      <c r="B235" s="1845"/>
      <c r="C235" s="434" t="s">
        <v>1173</v>
      </c>
      <c r="D235" s="2527"/>
      <c r="E235" s="2269"/>
      <c r="F235" s="2448"/>
      <c r="G235" s="465"/>
      <c r="H235" s="1565"/>
      <c r="I235" s="716"/>
      <c r="J235" s="636"/>
      <c r="K235" s="1565"/>
      <c r="L235" s="279"/>
      <c r="M235" s="406"/>
      <c r="N235" s="399"/>
      <c r="O235" s="1689"/>
      <c r="P235" s="1689"/>
      <c r="AH235" s="1696">
        <v>0</v>
      </c>
    </row>
    <row s="5796" customFormat="1" customHeight="1" ht="18.75" hidden="1">
      <c r="A236" s="1845" t="s">
        <v>234</v>
      </c>
      <c r="B236" s="1845" t="s">
        <v>235</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315</v>
      </c>
      <c r="M236" s="406"/>
      <c r="N236" s="399"/>
      <c r="O236" s="1689"/>
      <c r="P236" s="1689"/>
      <c r="AH236" s="1696">
        <v>0</v>
      </c>
    </row>
    <row s="5796" customFormat="1" customHeight="1" ht="18.75" hidden="1">
      <c r="A237" s="1845"/>
      <c r="B237" s="1845"/>
      <c r="C237" s="434" t="s">
        <v>1166</v>
      </c>
      <c r="D237" s="2527"/>
      <c r="E237" s="2269"/>
      <c r="F237" s="2448"/>
      <c r="G237" s="2492"/>
      <c r="H237" s="1565"/>
      <c r="I237" s="716" t="s">
        <v>1165</v>
      </c>
      <c r="J237" s="636"/>
      <c r="K237" s="1565"/>
      <c r="L237" s="279"/>
      <c r="M237" s="406"/>
      <c r="N237" s="399"/>
      <c r="O237" s="1689"/>
      <c r="P237" s="1689"/>
      <c r="AH237" s="1696">
        <v>0</v>
      </c>
    </row>
    <row s="5796" customFormat="1" customHeight="1" ht="0.75" hidden="1">
      <c r="A238" s="1845"/>
      <c r="B238" s="1845"/>
      <c r="C238" s="434" t="s">
        <v>1173</v>
      </c>
      <c r="D238" s="2527"/>
      <c r="E238" s="2269"/>
      <c r="F238" s="2448"/>
      <c r="G238" s="465"/>
      <c r="H238" s="1565"/>
      <c r="I238" s="716"/>
      <c r="J238" s="636"/>
      <c r="K238" s="1565"/>
      <c r="L238" s="279"/>
      <c r="M238" s="406"/>
      <c r="N238" s="399"/>
      <c r="O238" s="1689"/>
      <c r="P238" s="1689"/>
      <c r="AH238" s="1696">
        <v>0</v>
      </c>
    </row>
    <row s="5796" customFormat="1" customHeight="1" ht="18.75" hidden="1">
      <c r="A239" s="1845" t="s">
        <v>239</v>
      </c>
      <c r="B239" s="1845" t="s">
        <v>240</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315</v>
      </c>
      <c r="M239" s="406"/>
      <c r="N239" s="399"/>
      <c r="O239" s="1689"/>
      <c r="P239" s="1689"/>
      <c r="AH239" s="1696">
        <v>0</v>
      </c>
    </row>
    <row s="5796" customFormat="1" customHeight="1" ht="18.75" hidden="1">
      <c r="A240" s="1845"/>
      <c r="B240" s="1845"/>
      <c r="C240" s="434" t="s">
        <v>1166</v>
      </c>
      <c r="D240" s="2527"/>
      <c r="E240" s="2269"/>
      <c r="F240" s="2448"/>
      <c r="G240" s="2492"/>
      <c r="H240" s="1565"/>
      <c r="I240" s="716" t="s">
        <v>1165</v>
      </c>
      <c r="J240" s="636"/>
      <c r="K240" s="1565"/>
      <c r="L240" s="279"/>
      <c r="M240" s="406"/>
      <c r="N240" s="399"/>
      <c r="O240" s="1689"/>
      <c r="P240" s="1689"/>
      <c r="AH240" s="1696">
        <v>0</v>
      </c>
    </row>
    <row s="5796" customFormat="1" customHeight="1" ht="0.75" hidden="1">
      <c r="A241" s="1845"/>
      <c r="B241" s="1845"/>
      <c r="C241" s="434" t="s">
        <v>1173</v>
      </c>
      <c r="D241" s="2527"/>
      <c r="E241" s="2269"/>
      <c r="F241" s="2448"/>
      <c r="G241" s="465"/>
      <c r="H241" s="1565"/>
      <c r="I241" s="716"/>
      <c r="J241" s="636"/>
      <c r="K241" s="1565"/>
      <c r="L241" s="279"/>
      <c r="M241" s="406"/>
      <c r="N241" s="399"/>
      <c r="O241" s="1689"/>
      <c r="P241" s="1689"/>
      <c r="AH241" s="1696">
        <v>0</v>
      </c>
    </row>
    <row s="5796" customFormat="1" customHeight="1" ht="18.75" hidden="1">
      <c r="A242" s="1845" t="s">
        <v>244</v>
      </c>
      <c r="B242" s="1845" t="s">
        <v>245</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315</v>
      </c>
      <c r="M242" s="406"/>
      <c r="N242" s="399"/>
      <c r="O242" s="1689"/>
      <c r="P242" s="1689"/>
      <c r="AH242" s="1696">
        <v>0</v>
      </c>
    </row>
    <row s="5796" customFormat="1" customHeight="1" ht="18.75" hidden="1">
      <c r="A243" s="1845"/>
      <c r="B243" s="1845"/>
      <c r="C243" s="434" t="s">
        <v>1166</v>
      </c>
      <c r="D243" s="2527"/>
      <c r="E243" s="2269"/>
      <c r="F243" s="2448"/>
      <c r="G243" s="2492"/>
      <c r="H243" s="1565"/>
      <c r="I243" s="716" t="s">
        <v>1165</v>
      </c>
      <c r="J243" s="636"/>
      <c r="K243" s="1565"/>
      <c r="L243" s="279"/>
      <c r="M243" s="406"/>
      <c r="N243" s="399"/>
      <c r="O243" s="1689"/>
      <c r="P243" s="1689"/>
      <c r="AH243" s="1696">
        <v>0</v>
      </c>
    </row>
    <row s="5796" customFormat="1" customHeight="1" ht="0.75" hidden="1">
      <c r="A244" s="1845"/>
      <c r="B244" s="1845"/>
      <c r="C244" s="434" t="s">
        <v>1173</v>
      </c>
      <c r="D244" s="2527"/>
      <c r="E244" s="2269"/>
      <c r="F244" s="2448"/>
      <c r="G244" s="465"/>
      <c r="H244" s="1565"/>
      <c r="I244" s="716"/>
      <c r="J244" s="636"/>
      <c r="K244" s="1565"/>
      <c r="L244" s="279"/>
      <c r="M244" s="406"/>
      <c r="N244" s="399"/>
      <c r="O244" s="1689"/>
      <c r="P244" s="1689"/>
      <c r="AH244" s="1696">
        <v>0</v>
      </c>
    </row>
    <row s="5796" customFormat="1" customHeight="1" ht="18.75" hidden="1">
      <c r="A245" s="1845" t="s">
        <v>249</v>
      </c>
      <c r="B245" s="1845" t="s">
        <v>250</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315</v>
      </c>
      <c r="M245" s="406"/>
      <c r="N245" s="399"/>
      <c r="O245" s="1689"/>
      <c r="P245" s="1689"/>
      <c r="AH245" s="1696">
        <v>0</v>
      </c>
    </row>
    <row s="5796" customFormat="1" customHeight="1" ht="18.75" hidden="1">
      <c r="A246" s="1845"/>
      <c r="B246" s="1845"/>
      <c r="C246" s="434" t="s">
        <v>1166</v>
      </c>
      <c r="D246" s="2527"/>
      <c r="E246" s="2269"/>
      <c r="F246" s="2448"/>
      <c r="G246" s="2492"/>
      <c r="H246" s="1565"/>
      <c r="I246" s="716" t="s">
        <v>1165</v>
      </c>
      <c r="J246" s="636"/>
      <c r="K246" s="1565"/>
      <c r="L246" s="279"/>
      <c r="M246" s="406"/>
      <c r="N246" s="399"/>
      <c r="O246" s="1689"/>
      <c r="P246" s="1689"/>
      <c r="AH246" s="1696">
        <v>0</v>
      </c>
    </row>
    <row s="5796" customFormat="1" customHeight="1" ht="0.75" hidden="1">
      <c r="A247" s="1845"/>
      <c r="B247" s="1845"/>
      <c r="C247" s="434" t="s">
        <v>1173</v>
      </c>
      <c r="D247" s="2527"/>
      <c r="E247" s="2269"/>
      <c r="F247" s="2448"/>
      <c r="G247" s="465"/>
      <c r="H247" s="1565"/>
      <c r="I247" s="716"/>
      <c r="J247" s="636"/>
      <c r="K247" s="1565"/>
      <c r="L247" s="279"/>
      <c r="M247" s="406"/>
      <c r="N247" s="399"/>
      <c r="O247" s="1689"/>
      <c r="P247" s="1689"/>
      <c r="AH247" s="1696">
        <v>0</v>
      </c>
    </row>
    <row s="5796" customFormat="1" customHeight="1" ht="18.75" hidden="1">
      <c r="A248" s="1845" t="s">
        <v>254</v>
      </c>
      <c r="B248" s="1845" t="s">
        <v>255</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315</v>
      </c>
      <c r="M248" s="406"/>
      <c r="N248" s="399"/>
      <c r="O248" s="1689"/>
      <c r="P248" s="1689"/>
      <c r="AH248" s="1696">
        <v>0</v>
      </c>
    </row>
    <row s="5796" customFormat="1" customHeight="1" ht="18.75" hidden="1">
      <c r="A249" s="1845"/>
      <c r="B249" s="1845"/>
      <c r="C249" s="434" t="s">
        <v>1166</v>
      </c>
      <c r="D249" s="2527"/>
      <c r="E249" s="2269"/>
      <c r="F249" s="2448"/>
      <c r="G249" s="2492"/>
      <c r="H249" s="1565"/>
      <c r="I249" s="716" t="s">
        <v>1165</v>
      </c>
      <c r="J249" s="636"/>
      <c r="K249" s="1565"/>
      <c r="L249" s="279"/>
      <c r="M249" s="406"/>
      <c r="N249" s="399"/>
      <c r="O249" s="1689"/>
      <c r="P249" s="1689"/>
      <c r="AH249" s="1696">
        <v>0</v>
      </c>
    </row>
    <row s="5796" customFormat="1" customHeight="1" ht="0.75" hidden="1">
      <c r="A250" s="1845"/>
      <c r="B250" s="1845"/>
      <c r="C250" s="434" t="s">
        <v>1173</v>
      </c>
      <c r="D250" s="2527"/>
      <c r="E250" s="2269"/>
      <c r="F250" s="2448"/>
      <c r="G250" s="465"/>
      <c r="H250" s="1565"/>
      <c r="I250" s="716"/>
      <c r="J250" s="636"/>
      <c r="K250" s="1565"/>
      <c r="L250" s="279"/>
      <c r="M250" s="406"/>
      <c r="N250" s="399"/>
      <c r="O250" s="1689"/>
      <c r="P250" s="1689"/>
      <c r="AH250" s="1696">
        <v>0</v>
      </c>
    </row>
    <row s="5796" customFormat="1" customHeight="1" ht="18.75" hidden="1">
      <c r="A251" s="1845" t="s">
        <v>259</v>
      </c>
      <c r="B251" s="1845" t="s">
        <v>260</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315</v>
      </c>
      <c r="M251" s="406"/>
      <c r="N251" s="399"/>
      <c r="O251" s="1689"/>
      <c r="P251" s="1689"/>
      <c r="AH251" s="1696">
        <v>0</v>
      </c>
    </row>
    <row s="5796" customFormat="1" customHeight="1" ht="18.75" hidden="1">
      <c r="A252" s="1845"/>
      <c r="B252" s="1845"/>
      <c r="C252" s="434" t="s">
        <v>1166</v>
      </c>
      <c r="D252" s="2527"/>
      <c r="E252" s="2269"/>
      <c r="F252" s="2448"/>
      <c r="G252" s="2492"/>
      <c r="H252" s="1565"/>
      <c r="I252" s="716" t="s">
        <v>1165</v>
      </c>
      <c r="J252" s="636"/>
      <c r="K252" s="1565"/>
      <c r="L252" s="279"/>
      <c r="M252" s="406"/>
      <c r="N252" s="399"/>
      <c r="O252" s="1689"/>
      <c r="P252" s="1689"/>
      <c r="AH252" s="1696">
        <v>0</v>
      </c>
    </row>
    <row s="5796" customFormat="1" customHeight="1" ht="0.75" hidden="1">
      <c r="A253" s="1845"/>
      <c r="B253" s="1845"/>
      <c r="C253" s="434" t="s">
        <v>1173</v>
      </c>
      <c r="D253" s="2527"/>
      <c r="E253" s="2269"/>
      <c r="F253" s="2448"/>
      <c r="G253" s="465"/>
      <c r="H253" s="1565"/>
      <c r="I253" s="716"/>
      <c r="J253" s="636"/>
      <c r="K253" s="1565"/>
      <c r="L253" s="279"/>
      <c r="M253" s="406"/>
      <c r="N253" s="399"/>
      <c r="O253" s="1689"/>
      <c r="P253" s="1689"/>
      <c r="AH253" s="1696">
        <v>0</v>
      </c>
    </row>
    <row s="5796" customFormat="1" customHeight="1" ht="18.75" hidden="1">
      <c r="A254" s="1845" t="s">
        <v>264</v>
      </c>
      <c r="B254" s="1845" t="s">
        <v>265</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315</v>
      </c>
      <c r="M254" s="406"/>
      <c r="N254" s="399"/>
      <c r="O254" s="1689"/>
      <c r="P254" s="1689"/>
      <c r="AH254" s="1696">
        <v>0</v>
      </c>
    </row>
    <row s="5796" customFormat="1" customHeight="1" ht="18.75" hidden="1">
      <c r="A255" s="1845"/>
      <c r="B255" s="1845"/>
      <c r="C255" s="434" t="s">
        <v>1166</v>
      </c>
      <c r="D255" s="2527"/>
      <c r="E255" s="2269"/>
      <c r="F255" s="2448"/>
      <c r="G255" s="2492"/>
      <c r="H255" s="1565"/>
      <c r="I255" s="716" t="s">
        <v>1165</v>
      </c>
      <c r="J255" s="636"/>
      <c r="K255" s="1565"/>
      <c r="L255" s="279"/>
      <c r="M255" s="406"/>
      <c r="N255" s="399"/>
      <c r="O255" s="1689"/>
      <c r="P255" s="1689"/>
      <c r="AH255" s="1696">
        <v>0</v>
      </c>
    </row>
    <row s="5796" customFormat="1" customHeight="1" ht="0.75" hidden="1">
      <c r="A256" s="1845"/>
      <c r="B256" s="1845"/>
      <c r="C256" s="434" t="s">
        <v>1173</v>
      </c>
      <c r="D256" s="2527"/>
      <c r="E256" s="2269"/>
      <c r="F256" s="2448"/>
      <c r="G256" s="465"/>
      <c r="H256" s="1565"/>
      <c r="I256" s="716"/>
      <c r="J256" s="636"/>
      <c r="K256" s="1565"/>
      <c r="L256" s="279"/>
      <c r="M256" s="406"/>
      <c r="N256" s="399"/>
      <c r="O256" s="1689"/>
      <c r="P256" s="1689"/>
      <c r="AH256" s="1696">
        <v>0</v>
      </c>
    </row>
    <row s="5796" customFormat="1" customHeight="1" ht="18.75" hidden="1">
      <c r="A257" s="1845" t="s">
        <v>269</v>
      </c>
      <c r="B257" s="1845" t="s">
        <v>270</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315</v>
      </c>
      <c r="M257" s="406"/>
      <c r="N257" s="399"/>
      <c r="O257" s="1689"/>
      <c r="P257" s="1689"/>
      <c r="AH257" s="1696">
        <v>0</v>
      </c>
    </row>
    <row s="5796" customFormat="1" customHeight="1" ht="18.75" hidden="1">
      <c r="A258" s="1845"/>
      <c r="B258" s="1845"/>
      <c r="C258" s="434" t="s">
        <v>1166</v>
      </c>
      <c r="D258" s="2527"/>
      <c r="E258" s="2269"/>
      <c r="F258" s="2448"/>
      <c r="G258" s="2492"/>
      <c r="H258" s="1565"/>
      <c r="I258" s="716" t="s">
        <v>1165</v>
      </c>
      <c r="J258" s="636"/>
      <c r="K258" s="1565"/>
      <c r="L258" s="279"/>
      <c r="M258" s="406"/>
      <c r="N258" s="399"/>
      <c r="O258" s="1689"/>
      <c r="P258" s="1689"/>
      <c r="AH258" s="1696">
        <v>0</v>
      </c>
    </row>
    <row s="5796" customFormat="1" customHeight="1" ht="0.75" hidden="1">
      <c r="A259" s="1845"/>
      <c r="B259" s="1845"/>
      <c r="C259" s="434" t="s">
        <v>1173</v>
      </c>
      <c r="D259" s="2527"/>
      <c r="E259" s="2269"/>
      <c r="F259" s="2448"/>
      <c r="G259" s="465"/>
      <c r="H259" s="1565"/>
      <c r="I259" s="716"/>
      <c r="J259" s="636"/>
      <c r="K259" s="1565"/>
      <c r="L259" s="279"/>
      <c r="M259" s="406"/>
      <c r="N259" s="399"/>
      <c r="O259" s="1689"/>
      <c r="P259" s="1689"/>
      <c r="AH259" s="1696">
        <v>0</v>
      </c>
    </row>
    <row s="5796" customFormat="1" customHeight="1" ht="18.75" hidden="1">
      <c r="A260" s="1845" t="s">
        <v>274</v>
      </c>
      <c r="B260" s="1845" t="s">
        <v>275</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315</v>
      </c>
      <c r="M260" s="406"/>
      <c r="N260" s="399"/>
      <c r="O260" s="1689"/>
      <c r="P260" s="1689"/>
      <c r="AH260" s="1696">
        <v>0</v>
      </c>
    </row>
    <row s="5796" customFormat="1" customHeight="1" ht="18.75" hidden="1">
      <c r="A261" s="1845"/>
      <c r="B261" s="1845"/>
      <c r="C261" s="434" t="s">
        <v>1166</v>
      </c>
      <c r="D261" s="2527"/>
      <c r="E261" s="2269"/>
      <c r="F261" s="2448"/>
      <c r="G261" s="2492"/>
      <c r="H261" s="1565"/>
      <c r="I261" s="716" t="s">
        <v>1165</v>
      </c>
      <c r="J261" s="636"/>
      <c r="K261" s="1565"/>
      <c r="L261" s="279"/>
      <c r="M261" s="406"/>
      <c r="N261" s="399"/>
      <c r="O261" s="1689"/>
      <c r="P261" s="1689"/>
      <c r="AH261" s="1696">
        <v>0</v>
      </c>
    </row>
    <row s="5796" customFormat="1" customHeight="1" ht="0.75" hidden="1">
      <c r="A262" s="1845"/>
      <c r="B262" s="1845"/>
      <c r="C262" s="434" t="s">
        <v>1173</v>
      </c>
      <c r="D262" s="2527"/>
      <c r="E262" s="2269"/>
      <c r="F262" s="2448"/>
      <c r="G262" s="465"/>
      <c r="H262" s="1565"/>
      <c r="I262" s="716"/>
      <c r="J262" s="636"/>
      <c r="K262" s="1565"/>
      <c r="L262" s="279"/>
      <c r="M262" s="406"/>
      <c r="N262" s="399"/>
      <c r="O262" s="1689"/>
      <c r="P262" s="1689"/>
      <c r="AH262" s="1696">
        <v>0</v>
      </c>
    </row>
    <row s="5796" customFormat="1" customHeight="1" ht="18.75" hidden="1">
      <c r="A263" s="1845" t="s">
        <v>279</v>
      </c>
      <c r="B263" s="1845" t="s">
        <v>280</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315</v>
      </c>
      <c r="M263" s="406"/>
      <c r="N263" s="399"/>
      <c r="O263" s="1689"/>
      <c r="P263" s="1689"/>
      <c r="AH263" s="1696">
        <v>0</v>
      </c>
    </row>
    <row s="5796" customFormat="1" customHeight="1" ht="18.75" hidden="1">
      <c r="A264" s="1845"/>
      <c r="B264" s="1845"/>
      <c r="C264" s="434" t="s">
        <v>1166</v>
      </c>
      <c r="D264" s="2527"/>
      <c r="E264" s="2269"/>
      <c r="F264" s="2448"/>
      <c r="G264" s="2492"/>
      <c r="H264" s="1565"/>
      <c r="I264" s="716" t="s">
        <v>1165</v>
      </c>
      <c r="J264" s="636"/>
      <c r="K264" s="1565"/>
      <c r="L264" s="279"/>
      <c r="M264" s="406"/>
      <c r="N264" s="399"/>
      <c r="O264" s="1689"/>
      <c r="P264" s="1689"/>
      <c r="AH264" s="1696">
        <v>0</v>
      </c>
    </row>
    <row s="5796" customFormat="1" customHeight="1" ht="0.75" hidden="1">
      <c r="A265" s="1845"/>
      <c r="B265" s="1845"/>
      <c r="C265" s="434" t="s">
        <v>1173</v>
      </c>
      <c r="D265" s="2527"/>
      <c r="E265" s="2269"/>
      <c r="F265" s="2448"/>
      <c r="G265" s="465"/>
      <c r="H265" s="1565"/>
      <c r="I265" s="716"/>
      <c r="J265" s="636"/>
      <c r="K265" s="1565"/>
      <c r="L265" s="279"/>
      <c r="M265" s="406"/>
      <c r="N265" s="399"/>
      <c r="O265" s="1689"/>
      <c r="P265" s="1689"/>
      <c r="AH265" s="1696">
        <v>0</v>
      </c>
    </row>
    <row s="5796" customFormat="1" customHeight="1" ht="18.75" hidden="1">
      <c r="A266" s="1845" t="s">
        <v>284</v>
      </c>
      <c r="B266" s="1845" t="s">
        <v>285</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315</v>
      </c>
      <c r="M266" s="406"/>
      <c r="N266" s="399"/>
      <c r="O266" s="1689"/>
      <c r="P266" s="1689"/>
      <c r="AH266" s="1696">
        <v>0</v>
      </c>
    </row>
    <row s="5796" customFormat="1" customHeight="1" ht="18.75" hidden="1">
      <c r="A267" s="1845"/>
      <c r="B267" s="1845"/>
      <c r="C267" s="434" t="s">
        <v>1166</v>
      </c>
      <c r="D267" s="2527"/>
      <c r="E267" s="2269"/>
      <c r="F267" s="2448"/>
      <c r="G267" s="2492"/>
      <c r="H267" s="1565"/>
      <c r="I267" s="716" t="s">
        <v>1165</v>
      </c>
      <c r="J267" s="636"/>
      <c r="K267" s="1565"/>
      <c r="L267" s="279"/>
      <c r="M267" s="406"/>
      <c r="N267" s="399"/>
      <c r="O267" s="1689"/>
      <c r="P267" s="1689"/>
      <c r="AH267" s="1696">
        <v>0</v>
      </c>
    </row>
    <row s="5796" customFormat="1" customHeight="1" ht="1.05">
      <c r="A268" s="1845"/>
      <c r="B268" s="1845"/>
      <c r="C268" s="434" t="s">
        <v>1173</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5796"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315</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5796" customFormat="1" customHeight="1" ht="18.75" hidden="1">
      <c r="A271" s="1845"/>
      <c r="B271" s="1845"/>
      <c r="C271" s="434" t="s">
        <v>1166</v>
      </c>
      <c r="D271" s="2527"/>
      <c r="E271" s="2269"/>
      <c r="F271" s="2448"/>
      <c r="G271" s="2492"/>
      <c r="H271" s="1565"/>
      <c r="I271" s="716" t="s">
        <v>1165</v>
      </c>
      <c r="J271" s="636"/>
      <c r="K271" s="1565"/>
      <c r="L271" s="279"/>
      <c r="M271" s="2235"/>
      <c r="N271" s="399"/>
      <c r="O271" s="1689"/>
      <c r="P271" s="1689"/>
      <c r="AH271" s="1696">
        <v>0</v>
      </c>
    </row>
    <row s="5796" customFormat="1" customHeight="1" ht="0.75" hidden="1">
      <c r="A272" s="1845"/>
      <c r="B272" s="1845"/>
      <c r="C272" s="434" t="s">
        <v>1173</v>
      </c>
      <c r="D272" s="2527"/>
      <c r="E272" s="2269"/>
      <c r="F272" s="2448"/>
      <c r="G272" s="465"/>
      <c r="H272" s="1565"/>
      <c r="I272" s="716"/>
      <c r="J272" s="636"/>
      <c r="K272" s="1565"/>
      <c r="L272" s="279"/>
      <c r="M272" s="2235"/>
      <c r="N272" s="399"/>
      <c r="O272" s="1689"/>
      <c r="P272" s="1689"/>
      <c r="AH272" s="1696">
        <v>0</v>
      </c>
    </row>
    <row s="5796" customFormat="1" customHeight="1" ht="45" hidden="1">
      <c r="A273" s="1845" t="s">
        <v>165</v>
      </c>
      <c r="B273" s="1845" t="s">
        <v>166</v>
      </c>
      <c r="C273" s="434"/>
      <c r="D273" s="2527"/>
      <c r="E273" s="2269"/>
      <c r="F273" s="2448"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2" t="str">
        <f>INDEX(PT_DIFFERENTIATION_NTAR,MATCH(B273,PT_DIFFERENTIATION_NTAR_ID,0))</f>
        <v/>
      </c>
      <c r="H273" s="1927"/>
      <c r="I273" s="1804"/>
      <c r="J273" s="1838"/>
      <c r="K273" s="1843"/>
      <c r="L273" s="1927" t="s">
        <v>315</v>
      </c>
      <c r="M273" s="2236"/>
      <c r="N273" s="399"/>
      <c r="O273" s="1689"/>
      <c r="P273" s="1689"/>
      <c r="AH273" s="1696">
        <v>0</v>
      </c>
    </row>
    <row s="5796" customFormat="1" customHeight="1" ht="18.75" hidden="1">
      <c r="A274" s="1845"/>
      <c r="B274" s="1845"/>
      <c r="C274" s="434" t="s">
        <v>1166</v>
      </c>
      <c r="D274" s="2527"/>
      <c r="E274" s="2269"/>
      <c r="F274" s="2448"/>
      <c r="G274" s="2492"/>
      <c r="H274" s="1565"/>
      <c r="I274" s="716" t="s">
        <v>1165</v>
      </c>
      <c r="J274" s="636"/>
      <c r="K274" s="1565"/>
      <c r="L274" s="279"/>
      <c r="M274" s="1926"/>
      <c r="N274" s="399"/>
      <c r="O274" s="1689"/>
      <c r="P274" s="1689"/>
      <c r="AH274" s="1696">
        <v>0</v>
      </c>
    </row>
    <row s="5796" customFormat="1" customHeight="1" ht="0.75" hidden="1">
      <c r="A275" s="1845"/>
      <c r="B275" s="1845"/>
      <c r="C275" s="434" t="s">
        <v>1173</v>
      </c>
      <c r="D275" s="2527"/>
      <c r="E275" s="2269"/>
      <c r="F275" s="2448"/>
      <c r="G275" s="465"/>
      <c r="H275" s="1565"/>
      <c r="I275" s="716"/>
      <c r="J275" s="636"/>
      <c r="K275" s="1565"/>
      <c r="L275" s="279"/>
      <c r="M275" s="406"/>
      <c r="N275" s="399"/>
      <c r="O275" s="1689"/>
      <c r="P275" s="1689"/>
      <c r="AH275" s="1696">
        <v>0</v>
      </c>
    </row>
    <row s="5796" customFormat="1" customHeight="1" ht="45" hidden="1">
      <c r="A276" s="1845" t="s">
        <v>177</v>
      </c>
      <c r="B276" s="1845" t="s">
        <v>178</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315</v>
      </c>
      <c r="M276" s="406"/>
      <c r="N276" s="399"/>
      <c r="O276" s="1689"/>
      <c r="P276" s="1689"/>
      <c r="AH276" s="1696">
        <v>0</v>
      </c>
    </row>
    <row s="5796" customFormat="1" customHeight="1" ht="18.75" hidden="1">
      <c r="A277" s="1845"/>
      <c r="B277" s="1845"/>
      <c r="C277" s="434" t="s">
        <v>1166</v>
      </c>
      <c r="D277" s="2527"/>
      <c r="E277" s="2269"/>
      <c r="F277" s="2448"/>
      <c r="G277" s="2492"/>
      <c r="H277" s="1565"/>
      <c r="I277" s="716" t="s">
        <v>1165</v>
      </c>
      <c r="J277" s="636"/>
      <c r="K277" s="1565"/>
      <c r="L277" s="279"/>
      <c r="M277" s="406"/>
      <c r="N277" s="399"/>
      <c r="O277" s="1689"/>
      <c r="P277" s="1689"/>
      <c r="AH277" s="1696">
        <v>0</v>
      </c>
    </row>
    <row s="5796" customFormat="1" customHeight="1" ht="0.75" hidden="1">
      <c r="A278" s="1845"/>
      <c r="B278" s="1845"/>
      <c r="C278" s="434" t="s">
        <v>1173</v>
      </c>
      <c r="D278" s="2527"/>
      <c r="E278" s="2269"/>
      <c r="F278" s="2448"/>
      <c r="G278" s="465"/>
      <c r="H278" s="1565"/>
      <c r="I278" s="716"/>
      <c r="J278" s="636"/>
      <c r="K278" s="1565"/>
      <c r="L278" s="279"/>
      <c r="M278" s="406"/>
      <c r="N278" s="399"/>
      <c r="O278" s="1689"/>
      <c r="P278" s="1689"/>
      <c r="AH278" s="1696">
        <v>0</v>
      </c>
    </row>
    <row s="5796" customFormat="1" customHeight="1" ht="45" hidden="1">
      <c r="A279" s="1845" t="s">
        <v>184</v>
      </c>
      <c r="B279" s="1845" t="s">
        <v>185</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315</v>
      </c>
      <c r="M279" s="406"/>
      <c r="N279" s="399"/>
      <c r="O279" s="1689"/>
      <c r="P279" s="1689"/>
      <c r="AH279" s="1696">
        <v>0</v>
      </c>
    </row>
    <row s="5796" customFormat="1" customHeight="1" ht="18.75" hidden="1">
      <c r="A280" s="1845"/>
      <c r="B280" s="1845"/>
      <c r="C280" s="434" t="s">
        <v>1166</v>
      </c>
      <c r="D280" s="2527"/>
      <c r="E280" s="2269"/>
      <c r="F280" s="2448"/>
      <c r="G280" s="2492"/>
      <c r="H280" s="1565"/>
      <c r="I280" s="716" t="s">
        <v>1165</v>
      </c>
      <c r="J280" s="636"/>
      <c r="K280" s="1565"/>
      <c r="L280" s="279"/>
      <c r="M280" s="406"/>
      <c r="N280" s="399"/>
      <c r="O280" s="1689"/>
      <c r="P280" s="1689"/>
      <c r="AH280" s="1696">
        <v>0</v>
      </c>
    </row>
    <row s="5796" customFormat="1" customHeight="1" ht="0.75" hidden="1">
      <c r="A281" s="1845"/>
      <c r="B281" s="1845"/>
      <c r="C281" s="434" t="s">
        <v>1173</v>
      </c>
      <c r="D281" s="2527"/>
      <c r="E281" s="2269"/>
      <c r="F281" s="2448"/>
      <c r="G281" s="465"/>
      <c r="H281" s="1565"/>
      <c r="I281" s="716"/>
      <c r="J281" s="636"/>
      <c r="K281" s="1565"/>
      <c r="L281" s="279"/>
      <c r="M281" s="406"/>
      <c r="N281" s="399"/>
      <c r="O281" s="1689"/>
      <c r="P281" s="1689"/>
      <c r="AH281" s="1696">
        <v>0</v>
      </c>
    </row>
    <row s="5796" customFormat="1" customHeight="1" ht="18.75" hidden="1">
      <c r="A282" s="1845" t="s">
        <v>190</v>
      </c>
      <c r="B282" s="1845" t="s">
        <v>191</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315</v>
      </c>
      <c r="M282" s="406"/>
      <c r="N282" s="399"/>
      <c r="O282" s="1689"/>
      <c r="P282" s="1689"/>
      <c r="AH282" s="1696">
        <v>0</v>
      </c>
    </row>
    <row s="5796" customFormat="1" customHeight="1" ht="18.75" hidden="1">
      <c r="A283" s="1845"/>
      <c r="B283" s="1845"/>
      <c r="C283" s="434" t="s">
        <v>1166</v>
      </c>
      <c r="D283" s="2527"/>
      <c r="E283" s="2269"/>
      <c r="F283" s="2448"/>
      <c r="G283" s="2492"/>
      <c r="H283" s="1565"/>
      <c r="I283" s="716" t="s">
        <v>1165</v>
      </c>
      <c r="J283" s="636"/>
      <c r="K283" s="1565"/>
      <c r="L283" s="279"/>
      <c r="M283" s="406"/>
      <c r="N283" s="399"/>
      <c r="O283" s="1689"/>
      <c r="P283" s="1689"/>
      <c r="AH283" s="1696">
        <v>0</v>
      </c>
    </row>
    <row s="5796" customFormat="1" customHeight="1" ht="0.75" hidden="1">
      <c r="A284" s="1845"/>
      <c r="B284" s="1845"/>
      <c r="C284" s="434" t="s">
        <v>1173</v>
      </c>
      <c r="D284" s="2527"/>
      <c r="E284" s="2269"/>
      <c r="F284" s="2448"/>
      <c r="G284" s="465"/>
      <c r="H284" s="1565"/>
      <c r="I284" s="716"/>
      <c r="J284" s="636"/>
      <c r="K284" s="1565"/>
      <c r="L284" s="279"/>
      <c r="M284" s="406"/>
      <c r="N284" s="399"/>
      <c r="O284" s="1689"/>
      <c r="P284" s="1689"/>
      <c r="AH284" s="1696">
        <v>0</v>
      </c>
    </row>
    <row s="5796" customFormat="1" customHeight="1" ht="18.75" hidden="1">
      <c r="A285" s="1845" t="s">
        <v>196</v>
      </c>
      <c r="B285" s="1845" t="s">
        <v>197</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315</v>
      </c>
      <c r="M285" s="406"/>
      <c r="N285" s="399"/>
      <c r="O285" s="1689"/>
      <c r="P285" s="1689"/>
      <c r="AH285" s="1696">
        <v>0</v>
      </c>
    </row>
    <row s="5796" customFormat="1" customHeight="1" ht="18.75" hidden="1">
      <c r="A286" s="1845"/>
      <c r="B286" s="1845"/>
      <c r="C286" s="434" t="s">
        <v>1166</v>
      </c>
      <c r="D286" s="2527"/>
      <c r="E286" s="2269"/>
      <c r="F286" s="2448"/>
      <c r="G286" s="2492"/>
      <c r="H286" s="1565"/>
      <c r="I286" s="716" t="s">
        <v>1165</v>
      </c>
      <c r="J286" s="636"/>
      <c r="K286" s="1565"/>
      <c r="L286" s="279"/>
      <c r="M286" s="406"/>
      <c r="N286" s="399"/>
      <c r="O286" s="1689"/>
      <c r="P286" s="1689"/>
      <c r="AH286" s="1696">
        <v>0</v>
      </c>
    </row>
    <row s="5796" customFormat="1" customHeight="1" ht="0.75" hidden="1">
      <c r="A287" s="1845"/>
      <c r="B287" s="1845"/>
      <c r="C287" s="434" t="s">
        <v>1173</v>
      </c>
      <c r="D287" s="2527"/>
      <c r="E287" s="2269"/>
      <c r="F287" s="2448"/>
      <c r="G287" s="465"/>
      <c r="H287" s="1565"/>
      <c r="I287" s="716"/>
      <c r="J287" s="636"/>
      <c r="K287" s="1565"/>
      <c r="L287" s="279"/>
      <c r="M287" s="406"/>
      <c r="N287" s="399"/>
      <c r="O287" s="1689"/>
      <c r="P287" s="1689"/>
      <c r="AH287" s="1696">
        <v>0</v>
      </c>
    </row>
    <row s="5796" customFormat="1" customHeight="1" ht="18.75" hidden="1">
      <c r="A288" s="1845" t="s">
        <v>202</v>
      </c>
      <c r="B288" s="1845" t="s">
        <v>203</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315</v>
      </c>
      <c r="M288" s="406"/>
      <c r="N288" s="399"/>
      <c r="O288" s="1689"/>
      <c r="P288" s="1689"/>
      <c r="AH288" s="1696">
        <v>0</v>
      </c>
    </row>
    <row s="5796" customFormat="1" customHeight="1" ht="18.75" hidden="1">
      <c r="A289" s="1845"/>
      <c r="B289" s="1845"/>
      <c r="C289" s="434" t="s">
        <v>1166</v>
      </c>
      <c r="D289" s="2527"/>
      <c r="E289" s="2269"/>
      <c r="F289" s="2448"/>
      <c r="G289" s="2492"/>
      <c r="H289" s="1565"/>
      <c r="I289" s="716" t="s">
        <v>1165</v>
      </c>
      <c r="J289" s="636"/>
      <c r="K289" s="1565"/>
      <c r="L289" s="279"/>
      <c r="M289" s="406"/>
      <c r="N289" s="399"/>
      <c r="O289" s="1689"/>
      <c r="P289" s="1689"/>
      <c r="AH289" s="1696">
        <v>0</v>
      </c>
    </row>
    <row s="5796" customFormat="1" customHeight="1" ht="0.75" hidden="1">
      <c r="A290" s="1845"/>
      <c r="B290" s="1845"/>
      <c r="C290" s="434" t="s">
        <v>1173</v>
      </c>
      <c r="D290" s="2527"/>
      <c r="E290" s="2269"/>
      <c r="F290" s="2448"/>
      <c r="G290" s="465"/>
      <c r="H290" s="1565"/>
      <c r="I290" s="716"/>
      <c r="J290" s="636"/>
      <c r="K290" s="1565"/>
      <c r="L290" s="279"/>
      <c r="M290" s="406"/>
      <c r="N290" s="399"/>
      <c r="O290" s="1689"/>
      <c r="P290" s="1689"/>
      <c r="AH290" s="1696">
        <v>0</v>
      </c>
    </row>
    <row s="5796" customFormat="1" customHeight="1" ht="18.75" hidden="1">
      <c r="A291" s="1845" t="s">
        <v>208</v>
      </c>
      <c r="B291" s="1845" t="s">
        <v>209</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315</v>
      </c>
      <c r="M291" s="406"/>
      <c r="N291" s="399"/>
      <c r="O291" s="1689"/>
      <c r="P291" s="1689"/>
      <c r="AH291" s="1696">
        <v>0</v>
      </c>
    </row>
    <row s="5796" customFormat="1" customHeight="1" ht="18.75" hidden="1">
      <c r="A292" s="1845"/>
      <c r="B292" s="1845"/>
      <c r="C292" s="434" t="s">
        <v>1166</v>
      </c>
      <c r="D292" s="2527"/>
      <c r="E292" s="2269"/>
      <c r="F292" s="2448"/>
      <c r="G292" s="2492"/>
      <c r="H292" s="1565"/>
      <c r="I292" s="716" t="s">
        <v>1165</v>
      </c>
      <c r="J292" s="636"/>
      <c r="K292" s="1565"/>
      <c r="L292" s="279"/>
      <c r="M292" s="406"/>
      <c r="N292" s="399"/>
      <c r="O292" s="1689"/>
      <c r="P292" s="1689"/>
      <c r="AH292" s="1696">
        <v>0</v>
      </c>
    </row>
    <row s="5796" customFormat="1" customHeight="1" ht="0.75" hidden="1">
      <c r="A293" s="1845"/>
      <c r="B293" s="1845"/>
      <c r="C293" s="434" t="s">
        <v>1173</v>
      </c>
      <c r="D293" s="2527"/>
      <c r="E293" s="2269"/>
      <c r="F293" s="2448"/>
      <c r="G293" s="465"/>
      <c r="H293" s="1565"/>
      <c r="I293" s="716"/>
      <c r="J293" s="636"/>
      <c r="K293" s="1565"/>
      <c r="L293" s="279"/>
      <c r="M293" s="406"/>
      <c r="N293" s="399"/>
      <c r="O293" s="1689"/>
      <c r="P293" s="1689"/>
      <c r="AH293" s="1696">
        <v>0</v>
      </c>
    </row>
    <row s="5796" customFormat="1" customHeight="1" ht="18.75" hidden="1">
      <c r="A294" s="1845" t="s">
        <v>214</v>
      </c>
      <c r="B294" s="1845" t="s">
        <v>215</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315</v>
      </c>
      <c r="M294" s="406"/>
      <c r="N294" s="399"/>
      <c r="O294" s="1689"/>
      <c r="P294" s="1689"/>
      <c r="AH294" s="1696">
        <v>0</v>
      </c>
    </row>
    <row s="5796" customFormat="1" customHeight="1" ht="18.75" hidden="1">
      <c r="A295" s="1845"/>
      <c r="B295" s="1845"/>
      <c r="C295" s="434" t="s">
        <v>1166</v>
      </c>
      <c r="D295" s="2527"/>
      <c r="E295" s="2269"/>
      <c r="F295" s="2448"/>
      <c r="G295" s="2492"/>
      <c r="H295" s="1565"/>
      <c r="I295" s="716" t="s">
        <v>1165</v>
      </c>
      <c r="J295" s="636"/>
      <c r="K295" s="1565"/>
      <c r="L295" s="279"/>
      <c r="M295" s="406"/>
      <c r="N295" s="399"/>
      <c r="O295" s="1689"/>
      <c r="P295" s="1689"/>
      <c r="AH295" s="1696">
        <v>0</v>
      </c>
    </row>
    <row s="5796" customFormat="1" customHeight="1" ht="0.75" hidden="1">
      <c r="A296" s="1845"/>
      <c r="B296" s="1845"/>
      <c r="C296" s="434" t="s">
        <v>1173</v>
      </c>
      <c r="D296" s="2527"/>
      <c r="E296" s="2269"/>
      <c r="F296" s="2448"/>
      <c r="G296" s="465"/>
      <c r="H296" s="1565"/>
      <c r="I296" s="716"/>
      <c r="J296" s="636"/>
      <c r="K296" s="1565"/>
      <c r="L296" s="279"/>
      <c r="M296" s="406"/>
      <c r="N296" s="399"/>
      <c r="O296" s="1689"/>
      <c r="P296" s="1689"/>
      <c r="AH296" s="1696">
        <v>0</v>
      </c>
    </row>
    <row s="5796" customFormat="1" customHeight="1" ht="18.75" hidden="1">
      <c r="A297" s="1845" t="s">
        <v>234</v>
      </c>
      <c r="B297" s="1845" t="s">
        <v>235</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315</v>
      </c>
      <c r="M297" s="406"/>
      <c r="N297" s="399"/>
      <c r="O297" s="1689"/>
      <c r="P297" s="1689"/>
      <c r="AH297" s="1696">
        <v>0</v>
      </c>
    </row>
    <row s="5796" customFormat="1" customHeight="1" ht="18.75" hidden="1">
      <c r="A298" s="1845"/>
      <c r="B298" s="1845"/>
      <c r="C298" s="434" t="s">
        <v>1166</v>
      </c>
      <c r="D298" s="2527"/>
      <c r="E298" s="2269"/>
      <c r="F298" s="2448"/>
      <c r="G298" s="2492"/>
      <c r="H298" s="1565"/>
      <c r="I298" s="716" t="s">
        <v>1165</v>
      </c>
      <c r="J298" s="636"/>
      <c r="K298" s="1565"/>
      <c r="L298" s="279"/>
      <c r="M298" s="406"/>
      <c r="N298" s="399"/>
      <c r="O298" s="1689"/>
      <c r="P298" s="1689"/>
      <c r="AH298" s="1696">
        <v>0</v>
      </c>
    </row>
    <row s="5796" customFormat="1" customHeight="1" ht="0.75" hidden="1">
      <c r="A299" s="1845"/>
      <c r="B299" s="1845"/>
      <c r="C299" s="434" t="s">
        <v>1173</v>
      </c>
      <c r="D299" s="2527"/>
      <c r="E299" s="2269"/>
      <c r="F299" s="2448"/>
      <c r="G299" s="465"/>
      <c r="H299" s="1565"/>
      <c r="I299" s="716"/>
      <c r="J299" s="636"/>
      <c r="K299" s="1565"/>
      <c r="L299" s="279"/>
      <c r="M299" s="406"/>
      <c r="N299" s="399"/>
      <c r="O299" s="1689"/>
      <c r="P299" s="1689"/>
      <c r="AH299" s="1696">
        <v>0</v>
      </c>
    </row>
    <row s="5796" customFormat="1" customHeight="1" ht="18.75" hidden="1">
      <c r="A300" s="1845" t="s">
        <v>239</v>
      </c>
      <c r="B300" s="1845" t="s">
        <v>240</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315</v>
      </c>
      <c r="M300" s="406"/>
      <c r="N300" s="399"/>
      <c r="O300" s="1689"/>
      <c r="P300" s="1689"/>
      <c r="AH300" s="1696">
        <v>0</v>
      </c>
    </row>
    <row s="5796" customFormat="1" customHeight="1" ht="18.75" hidden="1">
      <c r="A301" s="1845"/>
      <c r="B301" s="1845"/>
      <c r="C301" s="434" t="s">
        <v>1166</v>
      </c>
      <c r="D301" s="2527"/>
      <c r="E301" s="2269"/>
      <c r="F301" s="2448"/>
      <c r="G301" s="2492"/>
      <c r="H301" s="1565"/>
      <c r="I301" s="716" t="s">
        <v>1165</v>
      </c>
      <c r="J301" s="636"/>
      <c r="K301" s="1565"/>
      <c r="L301" s="279"/>
      <c r="M301" s="406"/>
      <c r="N301" s="399"/>
      <c r="O301" s="1689"/>
      <c r="P301" s="1689"/>
      <c r="AH301" s="1696">
        <v>0</v>
      </c>
    </row>
    <row s="5796" customFormat="1" customHeight="1" ht="0.75" hidden="1">
      <c r="A302" s="1845"/>
      <c r="B302" s="1845"/>
      <c r="C302" s="434" t="s">
        <v>1173</v>
      </c>
      <c r="D302" s="2527"/>
      <c r="E302" s="2269"/>
      <c r="F302" s="2448"/>
      <c r="G302" s="465"/>
      <c r="H302" s="1565"/>
      <c r="I302" s="716"/>
      <c r="J302" s="636"/>
      <c r="K302" s="1565"/>
      <c r="L302" s="279"/>
      <c r="M302" s="406"/>
      <c r="N302" s="399"/>
      <c r="O302" s="1689"/>
      <c r="P302" s="1689"/>
      <c r="AH302" s="1696">
        <v>0</v>
      </c>
    </row>
    <row s="5796" customFormat="1" customHeight="1" ht="18.75" hidden="1">
      <c r="A303" s="1845" t="s">
        <v>244</v>
      </c>
      <c r="B303" s="1845" t="s">
        <v>245</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315</v>
      </c>
      <c r="M303" s="406"/>
      <c r="N303" s="399"/>
      <c r="O303" s="1689"/>
      <c r="P303" s="1689"/>
      <c r="AH303" s="1696">
        <v>0</v>
      </c>
    </row>
    <row s="5796" customFormat="1" customHeight="1" ht="18.75" hidden="1">
      <c r="A304" s="1845"/>
      <c r="B304" s="1845"/>
      <c r="C304" s="434" t="s">
        <v>1166</v>
      </c>
      <c r="D304" s="2527"/>
      <c r="E304" s="2269"/>
      <c r="F304" s="2448"/>
      <c r="G304" s="2492"/>
      <c r="H304" s="1565"/>
      <c r="I304" s="716" t="s">
        <v>1165</v>
      </c>
      <c r="J304" s="636"/>
      <c r="K304" s="1565"/>
      <c r="L304" s="279"/>
      <c r="M304" s="406"/>
      <c r="N304" s="399"/>
      <c r="O304" s="1689"/>
      <c r="P304" s="1689"/>
      <c r="AH304" s="1696">
        <v>0</v>
      </c>
    </row>
    <row s="5796" customFormat="1" customHeight="1" ht="0.75" hidden="1">
      <c r="A305" s="1845"/>
      <c r="B305" s="1845"/>
      <c r="C305" s="434" t="s">
        <v>1173</v>
      </c>
      <c r="D305" s="2527"/>
      <c r="E305" s="2269"/>
      <c r="F305" s="2448"/>
      <c r="G305" s="465"/>
      <c r="H305" s="1565"/>
      <c r="I305" s="716"/>
      <c r="J305" s="636"/>
      <c r="K305" s="1565"/>
      <c r="L305" s="279"/>
      <c r="M305" s="406"/>
      <c r="N305" s="399"/>
      <c r="O305" s="1689"/>
      <c r="P305" s="1689"/>
      <c r="AH305" s="1696">
        <v>0</v>
      </c>
    </row>
    <row s="5796" customFormat="1" customHeight="1" ht="18.75" hidden="1">
      <c r="A306" s="1845" t="s">
        <v>249</v>
      </c>
      <c r="B306" s="1845" t="s">
        <v>250</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315</v>
      </c>
      <c r="M306" s="406"/>
      <c r="N306" s="399"/>
      <c r="O306" s="1689"/>
      <c r="P306" s="1689"/>
      <c r="AH306" s="1696">
        <v>0</v>
      </c>
    </row>
    <row s="5796" customFormat="1" customHeight="1" ht="18.75" hidden="1">
      <c r="A307" s="1845"/>
      <c r="B307" s="1845"/>
      <c r="C307" s="434" t="s">
        <v>1166</v>
      </c>
      <c r="D307" s="2527"/>
      <c r="E307" s="2269"/>
      <c r="F307" s="2448"/>
      <c r="G307" s="2492"/>
      <c r="H307" s="1565"/>
      <c r="I307" s="716" t="s">
        <v>1165</v>
      </c>
      <c r="J307" s="636"/>
      <c r="K307" s="1565"/>
      <c r="L307" s="279"/>
      <c r="M307" s="406"/>
      <c r="N307" s="399"/>
      <c r="O307" s="1689"/>
      <c r="P307" s="1689"/>
      <c r="AH307" s="1696">
        <v>0</v>
      </c>
    </row>
    <row s="5796" customFormat="1" customHeight="1" ht="0.75" hidden="1">
      <c r="A308" s="1845"/>
      <c r="B308" s="1845"/>
      <c r="C308" s="434" t="s">
        <v>1173</v>
      </c>
      <c r="D308" s="2527"/>
      <c r="E308" s="2269"/>
      <c r="F308" s="2448"/>
      <c r="G308" s="465"/>
      <c r="H308" s="1565"/>
      <c r="I308" s="716"/>
      <c r="J308" s="636"/>
      <c r="K308" s="1565"/>
      <c r="L308" s="279"/>
      <c r="M308" s="406"/>
      <c r="N308" s="399"/>
      <c r="O308" s="1689"/>
      <c r="P308" s="1689"/>
      <c r="AH308" s="1696">
        <v>0</v>
      </c>
    </row>
    <row s="5796" customFormat="1" customHeight="1" ht="18.75" hidden="1">
      <c r="A309" s="1845" t="s">
        <v>254</v>
      </c>
      <c r="B309" s="1845" t="s">
        <v>255</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315</v>
      </c>
      <c r="M309" s="406"/>
      <c r="N309" s="399"/>
      <c r="O309" s="1689"/>
      <c r="P309" s="1689"/>
      <c r="AH309" s="1696">
        <v>0</v>
      </c>
    </row>
    <row s="5796" customFormat="1" customHeight="1" ht="18.75" hidden="1">
      <c r="A310" s="1845"/>
      <c r="B310" s="1845"/>
      <c r="C310" s="434" t="s">
        <v>1166</v>
      </c>
      <c r="D310" s="2527"/>
      <c r="E310" s="2269"/>
      <c r="F310" s="2448"/>
      <c r="G310" s="2492"/>
      <c r="H310" s="1565"/>
      <c r="I310" s="716" t="s">
        <v>1165</v>
      </c>
      <c r="J310" s="636"/>
      <c r="K310" s="1565"/>
      <c r="L310" s="279"/>
      <c r="M310" s="406"/>
      <c r="N310" s="399"/>
      <c r="O310" s="1689"/>
      <c r="P310" s="1689"/>
      <c r="AH310" s="1696">
        <v>0</v>
      </c>
    </row>
    <row s="5796" customFormat="1" customHeight="1" ht="0.75" hidden="1">
      <c r="A311" s="1845"/>
      <c r="B311" s="1845"/>
      <c r="C311" s="434" t="s">
        <v>1173</v>
      </c>
      <c r="D311" s="2527"/>
      <c r="E311" s="2269"/>
      <c r="F311" s="2448"/>
      <c r="G311" s="465"/>
      <c r="H311" s="1565"/>
      <c r="I311" s="716"/>
      <c r="J311" s="636"/>
      <c r="K311" s="1565"/>
      <c r="L311" s="279"/>
      <c r="M311" s="406"/>
      <c r="N311" s="399"/>
      <c r="O311" s="1689"/>
      <c r="P311" s="1689"/>
      <c r="AH311" s="1696">
        <v>0</v>
      </c>
    </row>
    <row s="5796" customFormat="1" customHeight="1" ht="18.75" hidden="1">
      <c r="A312" s="1845" t="s">
        <v>259</v>
      </c>
      <c r="B312" s="1845" t="s">
        <v>260</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315</v>
      </c>
      <c r="M312" s="406"/>
      <c r="N312" s="399"/>
      <c r="O312" s="1689"/>
      <c r="P312" s="1689"/>
      <c r="AH312" s="1696">
        <v>0</v>
      </c>
    </row>
    <row s="5796" customFormat="1" customHeight="1" ht="18.75" hidden="1">
      <c r="A313" s="1845"/>
      <c r="B313" s="1845"/>
      <c r="C313" s="434" t="s">
        <v>1166</v>
      </c>
      <c r="D313" s="2527"/>
      <c r="E313" s="2269"/>
      <c r="F313" s="2448"/>
      <c r="G313" s="2492"/>
      <c r="H313" s="1565"/>
      <c r="I313" s="716" t="s">
        <v>1165</v>
      </c>
      <c r="J313" s="636"/>
      <c r="K313" s="1565"/>
      <c r="L313" s="279"/>
      <c r="M313" s="406"/>
      <c r="N313" s="399"/>
      <c r="O313" s="1689"/>
      <c r="P313" s="1689"/>
      <c r="AH313" s="1696">
        <v>0</v>
      </c>
    </row>
    <row s="5796" customFormat="1" customHeight="1" ht="0.75" hidden="1">
      <c r="A314" s="1845"/>
      <c r="B314" s="1845"/>
      <c r="C314" s="434" t="s">
        <v>1173</v>
      </c>
      <c r="D314" s="2527"/>
      <c r="E314" s="2269"/>
      <c r="F314" s="2448"/>
      <c r="G314" s="465"/>
      <c r="H314" s="1565"/>
      <c r="I314" s="716"/>
      <c r="J314" s="636"/>
      <c r="K314" s="1565"/>
      <c r="L314" s="279"/>
      <c r="M314" s="406"/>
      <c r="N314" s="399"/>
      <c r="O314" s="1689"/>
      <c r="P314" s="1689"/>
      <c r="AH314" s="1696">
        <v>0</v>
      </c>
    </row>
    <row s="5796" customFormat="1" customHeight="1" ht="18.75" hidden="1">
      <c r="A315" s="1845" t="s">
        <v>264</v>
      </c>
      <c r="B315" s="1845" t="s">
        <v>265</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315</v>
      </c>
      <c r="M315" s="406"/>
      <c r="N315" s="399"/>
      <c r="O315" s="1689"/>
      <c r="P315" s="1689"/>
      <c r="AH315" s="1696">
        <v>0</v>
      </c>
    </row>
    <row s="5796" customFormat="1" customHeight="1" ht="18.75" hidden="1">
      <c r="A316" s="1845"/>
      <c r="B316" s="1845"/>
      <c r="C316" s="434" t="s">
        <v>1166</v>
      </c>
      <c r="D316" s="2527"/>
      <c r="E316" s="2269"/>
      <c r="F316" s="2448"/>
      <c r="G316" s="2492"/>
      <c r="H316" s="1565"/>
      <c r="I316" s="716" t="s">
        <v>1165</v>
      </c>
      <c r="J316" s="636"/>
      <c r="K316" s="1565"/>
      <c r="L316" s="279"/>
      <c r="M316" s="406"/>
      <c r="N316" s="399"/>
      <c r="O316" s="1689"/>
      <c r="P316" s="1689"/>
      <c r="AH316" s="1696">
        <v>0</v>
      </c>
    </row>
    <row s="5796" customFormat="1" customHeight="1" ht="0.75" hidden="1">
      <c r="A317" s="1845"/>
      <c r="B317" s="1845"/>
      <c r="C317" s="434" t="s">
        <v>1173</v>
      </c>
      <c r="D317" s="2527"/>
      <c r="E317" s="2269"/>
      <c r="F317" s="2448"/>
      <c r="G317" s="465"/>
      <c r="H317" s="1565"/>
      <c r="I317" s="716"/>
      <c r="J317" s="636"/>
      <c r="K317" s="1565"/>
      <c r="L317" s="279"/>
      <c r="M317" s="406"/>
      <c r="N317" s="399"/>
      <c r="O317" s="1689"/>
      <c r="P317" s="1689"/>
      <c r="AH317" s="1696">
        <v>0</v>
      </c>
    </row>
    <row s="5796" customFormat="1" customHeight="1" ht="18.75" hidden="1">
      <c r="A318" s="1845" t="s">
        <v>269</v>
      </c>
      <c r="B318" s="1845" t="s">
        <v>270</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315</v>
      </c>
      <c r="M318" s="406"/>
      <c r="N318" s="399"/>
      <c r="O318" s="1689"/>
      <c r="P318" s="1689"/>
      <c r="AH318" s="1696">
        <v>0</v>
      </c>
    </row>
    <row s="5796" customFormat="1" customHeight="1" ht="18.75" hidden="1">
      <c r="A319" s="1845"/>
      <c r="B319" s="1845"/>
      <c r="C319" s="434" t="s">
        <v>1166</v>
      </c>
      <c r="D319" s="2527"/>
      <c r="E319" s="2269"/>
      <c r="F319" s="2448"/>
      <c r="G319" s="2492"/>
      <c r="H319" s="1565"/>
      <c r="I319" s="716" t="s">
        <v>1165</v>
      </c>
      <c r="J319" s="636"/>
      <c r="K319" s="1565"/>
      <c r="L319" s="279"/>
      <c r="M319" s="406"/>
      <c r="N319" s="399"/>
      <c r="O319" s="1689"/>
      <c r="P319" s="1689"/>
      <c r="AH319" s="1696">
        <v>0</v>
      </c>
    </row>
    <row s="5796" customFormat="1" customHeight="1" ht="0.75" hidden="1">
      <c r="A320" s="1845"/>
      <c r="B320" s="1845"/>
      <c r="C320" s="434" t="s">
        <v>1173</v>
      </c>
      <c r="D320" s="2527"/>
      <c r="E320" s="2269"/>
      <c r="F320" s="2448"/>
      <c r="G320" s="465"/>
      <c r="H320" s="1565"/>
      <c r="I320" s="716"/>
      <c r="J320" s="636"/>
      <c r="K320" s="1565"/>
      <c r="L320" s="279"/>
      <c r="M320" s="406"/>
      <c r="N320" s="399"/>
      <c r="O320" s="1689"/>
      <c r="P320" s="1689"/>
      <c r="AH320" s="1696">
        <v>0</v>
      </c>
    </row>
    <row s="5796" customFormat="1" customHeight="1" ht="18.75" hidden="1">
      <c r="A321" s="1845" t="s">
        <v>274</v>
      </c>
      <c r="B321" s="1845" t="s">
        <v>275</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315</v>
      </c>
      <c r="M321" s="406"/>
      <c r="N321" s="399"/>
      <c r="O321" s="1689"/>
      <c r="P321" s="1689"/>
      <c r="AH321" s="1696">
        <v>0</v>
      </c>
    </row>
    <row s="5796" customFormat="1" customHeight="1" ht="18.75" hidden="1">
      <c r="A322" s="1845"/>
      <c r="B322" s="1845"/>
      <c r="C322" s="434" t="s">
        <v>1166</v>
      </c>
      <c r="D322" s="2527"/>
      <c r="E322" s="2269"/>
      <c r="F322" s="2448"/>
      <c r="G322" s="2492"/>
      <c r="H322" s="1565"/>
      <c r="I322" s="716" t="s">
        <v>1165</v>
      </c>
      <c r="J322" s="636"/>
      <c r="K322" s="1565"/>
      <c r="L322" s="279"/>
      <c r="M322" s="406"/>
      <c r="N322" s="399"/>
      <c r="O322" s="1689"/>
      <c r="P322" s="1689"/>
      <c r="AH322" s="1696">
        <v>0</v>
      </c>
    </row>
    <row s="5796" customFormat="1" customHeight="1" ht="0.75" hidden="1">
      <c r="A323" s="1845"/>
      <c r="B323" s="1845"/>
      <c r="C323" s="434" t="s">
        <v>1173</v>
      </c>
      <c r="D323" s="2527"/>
      <c r="E323" s="2269"/>
      <c r="F323" s="2448"/>
      <c r="G323" s="465"/>
      <c r="H323" s="1565"/>
      <c r="I323" s="716"/>
      <c r="J323" s="636"/>
      <c r="K323" s="1565"/>
      <c r="L323" s="279"/>
      <c r="M323" s="406"/>
      <c r="N323" s="399"/>
      <c r="O323" s="1689"/>
      <c r="P323" s="1689"/>
      <c r="AH323" s="1696">
        <v>0</v>
      </c>
    </row>
    <row s="5796" customFormat="1" customHeight="1" ht="18.75" hidden="1">
      <c r="A324" s="1845" t="s">
        <v>279</v>
      </c>
      <c r="B324" s="1845" t="s">
        <v>280</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315</v>
      </c>
      <c r="M324" s="406"/>
      <c r="N324" s="399"/>
      <c r="O324" s="1689"/>
      <c r="P324" s="1689"/>
      <c r="AH324" s="1696">
        <v>0</v>
      </c>
    </row>
    <row s="5796" customFormat="1" customHeight="1" ht="18.75" hidden="1">
      <c r="A325" s="1845"/>
      <c r="B325" s="1845"/>
      <c r="C325" s="434" t="s">
        <v>1166</v>
      </c>
      <c r="D325" s="2527"/>
      <c r="E325" s="2269"/>
      <c r="F325" s="2448"/>
      <c r="G325" s="2492"/>
      <c r="H325" s="1565"/>
      <c r="I325" s="716" t="s">
        <v>1165</v>
      </c>
      <c r="J325" s="636"/>
      <c r="K325" s="1565"/>
      <c r="L325" s="279"/>
      <c r="M325" s="406"/>
      <c r="N325" s="399"/>
      <c r="O325" s="1689"/>
      <c r="P325" s="1689"/>
      <c r="AH325" s="1696">
        <v>0</v>
      </c>
    </row>
    <row s="5796" customFormat="1" customHeight="1" ht="0.75" hidden="1">
      <c r="A326" s="1845"/>
      <c r="B326" s="1845"/>
      <c r="C326" s="434" t="s">
        <v>1173</v>
      </c>
      <c r="D326" s="2527"/>
      <c r="E326" s="2269"/>
      <c r="F326" s="2448"/>
      <c r="G326" s="465"/>
      <c r="H326" s="1565"/>
      <c r="I326" s="716"/>
      <c r="J326" s="636"/>
      <c r="K326" s="1565"/>
      <c r="L326" s="279"/>
      <c r="M326" s="406"/>
      <c r="N326" s="399"/>
      <c r="O326" s="1689"/>
      <c r="P326" s="1689"/>
      <c r="AH326" s="1696">
        <v>0</v>
      </c>
    </row>
    <row s="5796" customFormat="1" customHeight="1" ht="18.75" hidden="1">
      <c r="A327" s="1845" t="s">
        <v>284</v>
      </c>
      <c r="B327" s="1845" t="s">
        <v>285</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315</v>
      </c>
      <c r="M327" s="406"/>
      <c r="N327" s="399"/>
      <c r="O327" s="1689"/>
      <c r="P327" s="1689"/>
      <c r="AH327" s="1696">
        <v>0</v>
      </c>
    </row>
    <row s="5796" customFormat="1" customHeight="1" ht="18.75" hidden="1">
      <c r="A328" s="1845"/>
      <c r="B328" s="1845"/>
      <c r="C328" s="434" t="s">
        <v>1166</v>
      </c>
      <c r="D328" s="2527"/>
      <c r="E328" s="2269"/>
      <c r="F328" s="2448"/>
      <c r="G328" s="2492"/>
      <c r="H328" s="1565"/>
      <c r="I328" s="716" t="s">
        <v>1165</v>
      </c>
      <c r="J328" s="636"/>
      <c r="K328" s="1565"/>
      <c r="L328" s="279"/>
      <c r="M328" s="406"/>
      <c r="N328" s="399"/>
      <c r="O328" s="1689"/>
      <c r="P328" s="1689"/>
      <c r="AH328" s="1696">
        <v>0</v>
      </c>
    </row>
    <row s="5796" customFormat="1" customHeight="1" ht="1.05">
      <c r="A329" s="1845"/>
      <c r="B329" s="1845"/>
      <c r="C329" s="434" t="s">
        <v>1173</v>
      </c>
      <c r="D329" s="2527"/>
      <c r="E329" s="2269"/>
      <c r="F329" s="2448"/>
      <c r="G329" s="465"/>
      <c r="H329" s="1565"/>
      <c r="I329" s="716"/>
      <c r="J329" s="636"/>
      <c r="K329" s="1565"/>
      <c r="L329" s="279"/>
      <c r="M329" s="406"/>
      <c r="N329" s="399"/>
      <c r="O329" s="1689"/>
      <c r="P329" s="1689"/>
      <c r="AH329" s="1696">
        <v>1</v>
      </c>
    </row>
    <row s="6258"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F855F-E9CD-49A3-2C2B-0.17D7CF3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479" width="9.140625" hidden="1" customWidth="1"/>
    <col min="2" max="2" style="5745" width="9.140625" hidden="1" customWidth="1"/>
    <col min="3" max="3" style="5766" width="3.00390625" customWidth="1"/>
    <col min="4" max="4" style="5796" width="6.00390625" customWidth="1"/>
    <col min="5" max="5" style="5796" width="53.00390625" customWidth="1"/>
    <col min="6" max="7" style="5796" width="35.00390625" customWidth="1"/>
    <col min="8" max="8" style="5796" width="89.00390625" customWidth="1"/>
    <col min="9" max="9" style="5796" width="10.00390625" customWidth="1"/>
    <col min="10" max="11" style="5748" width="10.00390625" customWidth="1"/>
    <col min="12" max="17" style="5796" width="10.00390625" customWidth="1"/>
    <col min="18" max="18" style="5796" width="10.57421875" hidden="1"/>
  </cols>
  <sheetData>
    <row customHeight="1" ht="22.5" hidden="1">
      <c r="N1" s="320"/>
      <c r="O1" s="320"/>
      <c r="Q1" s="320"/>
      <c r="R1" s="439" t="s">
        <v>14</v>
      </c>
    </row>
    <row s="5796" customFormat="1" customHeight="1" ht="18.75" hidden="1">
      <c r="A2" s="167"/>
      <c r="B2" s="1225"/>
      <c r="C2" s="1795" t="s">
        <v>454</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5796" customFormat="1" customHeight="1" ht="18">
      <c r="A6" s="1734"/>
      <c r="B6" s="1225"/>
      <c r="C6" s="441"/>
      <c r="D6" s="2522" t="str">
        <f>IF(org=0,"Не определено",org)</f>
        <v>Нарьян-Марское МУ ПОКиТС</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309</v>
      </c>
      <c r="E8" s="2274"/>
      <c r="F8" s="2274"/>
      <c r="G8" s="2274"/>
      <c r="H8" s="2454" t="s">
        <v>310</v>
      </c>
      <c r="R8" s="439">
        <v>14</v>
      </c>
    </row>
    <row customHeight="1" ht="24">
      <c r="C9" s="441"/>
      <c r="D9" s="451" t="s">
        <v>91</v>
      </c>
      <c r="E9" s="173" t="s">
        <v>311</v>
      </c>
      <c r="F9" s="173" t="s">
        <v>312</v>
      </c>
      <c r="G9" s="173" t="s">
        <v>399</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1174</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331</v>
      </c>
      <c r="F14" s="414"/>
      <c r="G14" s="266"/>
      <c r="H14" s="2236"/>
      <c r="R14" s="439">
        <v>14</v>
      </c>
    </row>
    <row s="5796"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CB494-C86B-9725-7F73-0.08DF8791}" mc:Ignorable="x14ac xr xr2 xr3">
  <sheetPr>
    <tabColor rgb="FFCCCCFF"/>
  </sheetPr>
  <dimension ref="A1:AR146"/>
  <sheetViews>
    <sheetView topLeftCell="A1" showGridLines="0" zoomScale="90" workbookViewId="0">
      <selection activeCell="G53" sqref="G53:G57"/>
    </sheetView>
  </sheetViews>
  <sheetFormatPr defaultColWidth="9.140625" customHeight="1" defaultRowHeight="11.25"/>
  <cols>
    <col min="1" max="2" style="5748" width="3.7109375" hidden="1" customWidth="1"/>
    <col min="3" max="3" style="6339" width="3.00390625" customWidth="1"/>
    <col min="4" max="4" style="6339" width="6.00390625" customWidth="1"/>
    <col min="5" max="5" style="6339" width="42.00390625" customWidth="1"/>
    <col min="6" max="6" style="6339" width="15.00390625" customWidth="1"/>
    <col min="7" max="7" style="6339" width="42.00390625" customWidth="1"/>
    <col min="8" max="8" style="6339" width="3.00390625" customWidth="1"/>
    <col min="9" max="9" style="6339" width="5.00390625" customWidth="1"/>
    <col min="10" max="10" style="6339" width="47.00390625" customWidth="1"/>
    <col min="11" max="12" style="6339" width="3.00390625" customWidth="1"/>
    <col min="13" max="13" style="6339" width="5.00390625" customWidth="1"/>
    <col min="14" max="14" style="6339" width="28.00390625" customWidth="1"/>
    <col min="15" max="16" style="6339" width="3.00390625" customWidth="1"/>
    <col min="17" max="17" style="6339" width="5.00390625" customWidth="1"/>
    <col min="18" max="18" style="6339" width="34.00390625" customWidth="1"/>
    <col min="19" max="20" style="6339" width="3.7109375" customWidth="1"/>
    <col min="21" max="21" style="6339" width="5.7109375" customWidth="1"/>
    <col min="22" max="22" style="6339" width="34.421875" customWidth="1"/>
    <col min="23" max="23" style="6339" width="30.00390625" customWidth="1"/>
    <col min="24" max="24" style="6339" width="3.00390625" customWidth="1"/>
    <col min="25" max="28" style="5872" width="9.8515625" hidden="1" customWidth="1"/>
    <col min="29" max="29" style="5872" width="27.00390625" hidden="1" customWidth="1"/>
    <col min="30" max="30" style="5872" width="10.57421875" hidden="1" customWidth="1"/>
    <col min="31" max="31" style="5872" width="10.7109375" hidden="1" customWidth="1"/>
    <col min="32" max="32" style="5872" width="10.00390625" hidden="1" customWidth="1"/>
    <col min="33" max="33" style="5872" width="12.8515625" hidden="1" customWidth="1"/>
    <col min="34" max="34" style="5872" width="24.421875" hidden="1" customWidth="1"/>
    <col min="35" max="35" style="5872" width="15.8515625" hidden="1" customWidth="1"/>
    <col min="36" max="36" style="5872" width="19.421875" hidden="1" customWidth="1"/>
    <col min="37" max="37" style="5872" width="11.00390625" hidden="1" customWidth="1"/>
    <col min="38" max="38" style="5872" width="23.57421875" hidden="1" customWidth="1"/>
    <col min="39" max="39" style="5872" width="23.8515625" hidden="1" customWidth="1"/>
    <col min="40" max="40" style="5872" width="25.28125" hidden="1" customWidth="1"/>
    <col min="41" max="41" style="5872" width="16.8515625" hidden="1" customWidth="1"/>
    <col min="42" max="42" style="5872" width="29.57421875" hidden="1" customWidth="1"/>
    <col min="43" max="43" style="5872" width="29.8515625" hidden="1" customWidth="1"/>
    <col min="44" max="44" style="6339" width="9.140625" hidden="1"/>
  </cols>
  <sheetData>
    <row customHeight="1" ht="11.25" hidden="1">
      <c r="A1" s="221"/>
      <c r="AR1" s="169" t="s">
        <v>14</v>
      </c>
    </row>
    <row customHeight="1" ht="11.25" hidden="1">
      <c r="AR2" s="169">
        <v>0</v>
      </c>
    </row>
    <row customHeight="1" ht="11.25" hidden="1">
      <c r="AR3" s="169">
        <v>0</v>
      </c>
    </row>
    <row customHeight="1" ht="3">
      <c r="AR4" s="169">
        <v>3</v>
      </c>
    </row>
    <row s="3056"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6" customFormat="1" customHeight="1" ht="14.699999999999998">
      <c r="A6" s="650"/>
      <c r="B6" s="650"/>
      <c r="C6" s="650"/>
      <c r="D6" s="2228" t="str">
        <f>IF(org=0,"Не определено",org)</f>
        <v>Нарьян-Марское МУ ПОКиТС</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54"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6"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125</v>
      </c>
      <c r="F9" s="2168"/>
      <c r="G9" s="2192" t="s">
        <v>108</v>
      </c>
      <c r="H9" s="2192" t="s">
        <v>91</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92</v>
      </c>
      <c r="F10" s="1349" t="s">
        <v>131</v>
      </c>
      <c r="G10" s="2192"/>
      <c r="H10" s="2192"/>
      <c r="I10" s="2192"/>
      <c r="J10" s="2192"/>
      <c r="K10" s="175" t="s">
        <v>111</v>
      </c>
      <c r="L10" s="2192" t="s">
        <v>91</v>
      </c>
      <c r="M10" s="2192"/>
      <c r="N10" s="175" t="s">
        <v>132</v>
      </c>
      <c r="O10" s="175" t="s">
        <v>111</v>
      </c>
      <c r="P10" s="2192" t="s">
        <v>91</v>
      </c>
      <c r="Q10" s="2192"/>
      <c r="R10" s="175" t="s">
        <v>132</v>
      </c>
      <c r="S10" s="348" t="s">
        <v>111</v>
      </c>
      <c r="T10" s="2192" t="s">
        <v>91</v>
      </c>
      <c r="U10" s="2192"/>
      <c r="V10" s="348" t="s">
        <v>92</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5748" customFormat="1" customHeight="1" ht="12" hidden="1">
      <c r="D11" s="1314" t="s">
        <v>112</v>
      </c>
      <c r="E11" s="1314" t="s">
        <v>113</v>
      </c>
      <c r="F11" s="1314"/>
      <c r="G11" s="1314" t="s">
        <v>93</v>
      </c>
      <c r="H11" s="2221" t="s">
        <v>114</v>
      </c>
      <c r="I11" s="2221"/>
      <c r="J11" s="1314" t="s">
        <v>95</v>
      </c>
      <c r="K11" s="1314" t="s">
        <v>96</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6339" customFormat="1" customHeight="1" ht="17.25">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6339"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6339"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6339"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6339"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6339" customFormat="1" customHeight="1" ht="17.25">
      <c r="A18" s="386"/>
      <c r="C18" s="274"/>
      <c r="D18" s="2200">
        <v>2</v>
      </c>
      <c r="E18" s="3113" t="s">
        <v>163</v>
      </c>
      <c r="F18" s="2210" t="s">
        <v>64</v>
      </c>
      <c r="G18" s="311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3115"/>
      <c r="I18" s="3115">
        <v>1</v>
      </c>
      <c r="J18" s="3116"/>
      <c r="K18" s="3117" t="s">
        <v>19</v>
      </c>
      <c r="L18" s="3118"/>
      <c r="M18" s="3118" t="s">
        <v>112</v>
      </c>
      <c r="N18" s="3119" t="s">
        <v>28</v>
      </c>
      <c r="O18" s="3117" t="s">
        <v>19</v>
      </c>
      <c r="P18" s="3118"/>
      <c r="Q18" s="3118" t="s">
        <v>112</v>
      </c>
      <c r="R18" s="3120" t="s">
        <v>28</v>
      </c>
      <c r="S18" s="3121" t="s">
        <v>19</v>
      </c>
      <c r="T18" s="3118"/>
      <c r="U18" s="3118" t="s">
        <v>112</v>
      </c>
      <c r="V18" s="3120" t="s">
        <v>28</v>
      </c>
      <c r="W18" s="3116"/>
      <c r="X18" s="1332"/>
      <c r="Y18" s="1332"/>
      <c r="Z18" s="1332"/>
      <c r="AA18" s="1332"/>
      <c r="AB18" s="1332" t="s">
        <v>164</v>
      </c>
      <c r="AC18" s="1332" t="s">
        <v>165</v>
      </c>
      <c r="AD18" s="1332" t="s">
        <v>166</v>
      </c>
      <c r="AE18" s="1332" t="s">
        <v>167</v>
      </c>
      <c r="AF18" s="1332" t="s">
        <v>168</v>
      </c>
      <c r="AG18" s="1332" t="s">
        <v>169</v>
      </c>
      <c r="AH18" s="133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2" t="str">
        <f>IF($G$18=0,"",$G$18)</f>
        <v>Производство тепловой энергии. Некомбинированная выработка; Передача. Тепловая энергия; Сбыт. Тепловая энергия</v>
      </c>
      <c r="AJ18" s="1332" t="str">
        <f>IF($J$18=0,"",$J$18)</f>
        <v/>
      </c>
      <c r="AK18" s="1332" t="str">
        <f>IF($K$18="нет","без дифференциации",IF($N$18=0,"",$N$18))</f>
        <v>без дифференциации</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6339" customFormat="1" customHeight="1" ht="17.25">
      <c r="A19" s="386"/>
      <c r="C19" s="385"/>
      <c r="D19" s="2200"/>
      <c r="E19" s="2229"/>
      <c r="F19" s="2211"/>
      <c r="G19" s="3114"/>
      <c r="H19" s="3115"/>
      <c r="I19" s="3115"/>
      <c r="J19" s="3116"/>
      <c r="K19" s="3125"/>
      <c r="L19" s="3118"/>
      <c r="M19" s="3118"/>
      <c r="N19" s="3119" t="s">
        <v>28</v>
      </c>
      <c r="O19" s="3125"/>
      <c r="P19" s="3118"/>
      <c r="Q19" s="3118"/>
      <c r="R19" s="3120" t="s">
        <v>28</v>
      </c>
      <c r="S19" s="3121"/>
      <c r="T19" s="3126"/>
      <c r="U19" s="3127"/>
      <c r="V19" s="3128" t="s">
        <v>170</v>
      </c>
      <c r="W19" s="3129"/>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6339" customFormat="1" customHeight="1" ht="17.25">
      <c r="A20" s="386"/>
      <c r="C20" s="385"/>
      <c r="D20" s="2201"/>
      <c r="E20" s="2230"/>
      <c r="F20" s="2211"/>
      <c r="G20" s="3131"/>
      <c r="H20" s="3132"/>
      <c r="I20" s="3132"/>
      <c r="J20" s="3133"/>
      <c r="K20" s="3125"/>
      <c r="L20" s="3132"/>
      <c r="M20" s="3132"/>
      <c r="N20" s="3120" t="s">
        <v>28</v>
      </c>
      <c r="O20" s="3134"/>
      <c r="P20" s="3135"/>
      <c r="Q20" s="3136"/>
      <c r="R20" s="3137" t="s">
        <v>171</v>
      </c>
      <c r="S20" s="3138"/>
      <c r="T20" s="3139"/>
      <c r="U20" s="3140"/>
      <c r="V20" s="3141"/>
      <c r="W20" s="3142"/>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6339" customFormat="1" customHeight="1" ht="17.25">
      <c r="A21" s="386"/>
      <c r="C21" s="385"/>
      <c r="D21" s="2201"/>
      <c r="E21" s="2230"/>
      <c r="F21" s="2211"/>
      <c r="G21" s="3131"/>
      <c r="H21" s="3132"/>
      <c r="I21" s="3132"/>
      <c r="J21" s="3133"/>
      <c r="K21" s="3134"/>
      <c r="L21" s="3143"/>
      <c r="M21" s="3144"/>
      <c r="N21" s="3145" t="s">
        <v>172</v>
      </c>
      <c r="O21" s="3146"/>
      <c r="P21" s="3147"/>
      <c r="Q21" s="3148"/>
      <c r="R21" s="3149"/>
      <c r="S21" s="3150"/>
      <c r="T21" s="3151"/>
      <c r="U21" s="3152"/>
      <c r="V21" s="3153"/>
      <c r="W21" s="315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6339" customFormat="1" customHeight="1" ht="17.25">
      <c r="A22" s="386"/>
      <c r="C22" s="385"/>
      <c r="D22" s="2201"/>
      <c r="E22" s="2230"/>
      <c r="F22" s="2212"/>
      <c r="G22" s="3131"/>
      <c r="H22" s="3155"/>
      <c r="I22" s="3156"/>
      <c r="J22" s="3157" t="s">
        <v>173</v>
      </c>
      <c r="K22" s="3158"/>
      <c r="L22" s="3159"/>
      <c r="M22" s="3160"/>
      <c r="N22" s="3161"/>
      <c r="O22" s="3162"/>
      <c r="P22" s="3163"/>
      <c r="Q22" s="3164"/>
      <c r="R22" s="3165"/>
      <c r="S22" s="3166"/>
      <c r="T22" s="3167"/>
      <c r="U22" s="3168"/>
      <c r="V22" s="3169"/>
      <c r="W22" s="3170"/>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6339" customFormat="1" customHeight="1" ht="17.25" hidden="1">
      <c r="A23" s="386"/>
      <c r="C23" s="274"/>
      <c r="D23" s="2200">
        <v>2</v>
      </c>
      <c r="E23" s="2208" t="s">
        <v>174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6339"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6339"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6339"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6339"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6339" customFormat="1" customHeight="1" ht="17.25">
      <c r="A28" s="386"/>
      <c r="C28" s="274"/>
      <c r="D28" s="2200">
        <v>3</v>
      </c>
      <c r="E28" s="2208" t="s">
        <v>175</v>
      </c>
      <c r="F28" s="2210" t="s">
        <v>64</v>
      </c>
      <c r="G28" s="3114"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3115"/>
      <c r="I28" s="3115">
        <v>1</v>
      </c>
      <c r="J28" s="3116"/>
      <c r="K28" s="3117" t="s">
        <v>19</v>
      </c>
      <c r="L28" s="3118"/>
      <c r="M28" s="3118" t="s">
        <v>112</v>
      </c>
      <c r="N28" s="3119" t="s">
        <v>28</v>
      </c>
      <c r="O28" s="3117" t="s">
        <v>19</v>
      </c>
      <c r="P28" s="3118"/>
      <c r="Q28" s="3118" t="s">
        <v>112</v>
      </c>
      <c r="R28" s="3120" t="s">
        <v>28</v>
      </c>
      <c r="S28" s="3121" t="s">
        <v>19</v>
      </c>
      <c r="T28" s="3118"/>
      <c r="U28" s="3118" t="s">
        <v>112</v>
      </c>
      <c r="V28" s="3120" t="s">
        <v>28</v>
      </c>
      <c r="W28" s="3116"/>
      <c r="X28" s="1332"/>
      <c r="Y28" s="1332"/>
      <c r="Z28" s="1332"/>
      <c r="AA28" s="1332"/>
      <c r="AB28" s="1332" t="s">
        <v>176</v>
      </c>
      <c r="AC28" s="1332" t="s">
        <v>177</v>
      </c>
      <c r="AD28" s="1332" t="s">
        <v>178</v>
      </c>
      <c r="AE28" s="1332" t="s">
        <v>179</v>
      </c>
      <c r="AF28" s="1332" t="s">
        <v>180</v>
      </c>
      <c r="AG28" s="1332" t="s">
        <v>181</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Производство. Теплоноситель; Передача. Теплоноситель; Сбыт. Теплоноситель</v>
      </c>
      <c r="AJ28" s="1332" t="str">
        <f>IF($J$28=0,"",$J$28)</f>
        <v/>
      </c>
      <c r="AK28" s="1332" t="str">
        <f>IF($K$28="нет","без дифференциации",IF($N$28=0,"",$N$28))</f>
        <v>без дифференциации</v>
      </c>
      <c r="AL28" s="1332" t="str">
        <f>IF($O$28="нет","без дифференциации",IF($R$28=0,"",$R$28))</f>
        <v>без дифференциации</v>
      </c>
      <c r="AM28" s="1332" t="str">
        <f>IF($S$28="нет","без дифференциации",IF($V$28=0,"",$V$28))</f>
        <v>без дифференциации</v>
      </c>
      <c r="AN28" s="1837">
        <f>$I$28</f>
        <v>1</v>
      </c>
      <c r="AO28" s="1332" t="str">
        <f>$I$28&amp;"."&amp;$M$28</f>
        <v>1.1</v>
      </c>
      <c r="AP28" s="1324" t="str">
        <f>$I$28&amp;"."&amp;$M$28&amp;"."&amp;$Q$28</f>
        <v>1.1.1</v>
      </c>
      <c r="AQ28" s="1324" t="str">
        <f>$I$28&amp;"."&amp;$M$28&amp;"."&amp;$Q$28&amp;"."&amp;$U$28</f>
        <v>1.1.1.1</v>
      </c>
      <c r="AR28" s="1348">
        <v>0</v>
      </c>
    </row>
    <row s="6339" customFormat="1" customHeight="1" ht="17.25">
      <c r="A29" s="386"/>
      <c r="C29" s="385"/>
      <c r="D29" s="2200"/>
      <c r="E29" s="2208"/>
      <c r="F29" s="2211"/>
      <c r="G29" s="3114"/>
      <c r="H29" s="3115"/>
      <c r="I29" s="3115"/>
      <c r="J29" s="3116"/>
      <c r="K29" s="3125"/>
      <c r="L29" s="3118"/>
      <c r="M29" s="3118"/>
      <c r="N29" s="3119" t="s">
        <v>28</v>
      </c>
      <c r="O29" s="3125"/>
      <c r="P29" s="3118"/>
      <c r="Q29" s="3118"/>
      <c r="R29" s="3120" t="s">
        <v>28</v>
      </c>
      <c r="S29" s="3121"/>
      <c r="T29" s="3179"/>
      <c r="U29" s="3180"/>
      <c r="V29" s="3181" t="s">
        <v>170</v>
      </c>
      <c r="W29" s="3182"/>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6339" customFormat="1" customHeight="1" ht="17.25">
      <c r="A30" s="386"/>
      <c r="C30" s="385"/>
      <c r="D30" s="2201"/>
      <c r="E30" s="2209"/>
      <c r="F30" s="2211"/>
      <c r="G30" s="3131"/>
      <c r="H30" s="3132"/>
      <c r="I30" s="3132"/>
      <c r="J30" s="3133"/>
      <c r="K30" s="3125"/>
      <c r="L30" s="3132"/>
      <c r="M30" s="3132"/>
      <c r="N30" s="3120" t="s">
        <v>28</v>
      </c>
      <c r="O30" s="3134"/>
      <c r="P30" s="3183"/>
      <c r="Q30" s="3184"/>
      <c r="R30" s="3185" t="s">
        <v>171</v>
      </c>
      <c r="S30" s="3186"/>
      <c r="T30" s="3187"/>
      <c r="U30" s="3188"/>
      <c r="V30" s="3189"/>
      <c r="W30" s="3190"/>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6339" customFormat="1" customHeight="1" ht="17.25">
      <c r="A31" s="386"/>
      <c r="C31" s="385"/>
      <c r="D31" s="2201"/>
      <c r="E31" s="2209"/>
      <c r="F31" s="2211"/>
      <c r="G31" s="3131"/>
      <c r="H31" s="3132"/>
      <c r="I31" s="3132"/>
      <c r="J31" s="3133"/>
      <c r="K31" s="3134"/>
      <c r="L31" s="3191"/>
      <c r="M31" s="3192"/>
      <c r="N31" s="3193" t="s">
        <v>172</v>
      </c>
      <c r="O31" s="3194"/>
      <c r="P31" s="3195"/>
      <c r="Q31" s="3196"/>
      <c r="R31" s="3197"/>
      <c r="S31" s="3198"/>
      <c r="T31" s="3199"/>
      <c r="U31" s="3200"/>
      <c r="V31" s="3201"/>
      <c r="W31" s="3202"/>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6339" customFormat="1" customHeight="1" ht="17.25">
      <c r="A32" s="386"/>
      <c r="C32" s="385"/>
      <c r="D32" s="2201"/>
      <c r="E32" s="2209"/>
      <c r="F32" s="2212"/>
      <c r="G32" s="3131"/>
      <c r="H32" s="3203"/>
      <c r="I32" s="3204"/>
      <c r="J32" s="3205" t="s">
        <v>173</v>
      </c>
      <c r="K32" s="3206"/>
      <c r="L32" s="3207"/>
      <c r="M32" s="3208"/>
      <c r="N32" s="3209"/>
      <c r="O32" s="3210"/>
      <c r="P32" s="3211"/>
      <c r="Q32" s="3212"/>
      <c r="R32" s="3213"/>
      <c r="S32" s="3214"/>
      <c r="T32" s="3215"/>
      <c r="U32" s="3216"/>
      <c r="V32" s="3217"/>
      <c r="W32" s="3218"/>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6339" customFormat="1" customHeight="1" ht="17.25">
      <c r="A33" s="386"/>
      <c r="C33" s="274"/>
      <c r="D33" s="2200">
        <v>4</v>
      </c>
      <c r="E33" s="2208" t="s">
        <v>182</v>
      </c>
      <c r="F33" s="2210" t="s">
        <v>64</v>
      </c>
      <c r="G33" s="3114" t="str">
        <f>INDEX(VD_NAME_LIST,MATCH("4190064",VD_ID_LIST,0))&amp;"; "&amp;INDEX(VD_NAME_LIST,MATCH("4190069",VD_ID_LIST,0))&amp;"; "&amp;INDEX(VD_NAME_LIST,MATCH("4190071",VD_ID_LIST,0))</f>
        <v>Производство тепловой энергии. Некомбинированная выработка; Передача. Теплоноситель; Сбыт. Теплоноситель</v>
      </c>
      <c r="H33" s="3115"/>
      <c r="I33" s="3115">
        <v>1</v>
      </c>
      <c r="J33" s="3116"/>
      <c r="K33" s="3117" t="s">
        <v>19</v>
      </c>
      <c r="L33" s="3118"/>
      <c r="M33" s="3118" t="s">
        <v>112</v>
      </c>
      <c r="N33" s="3119" t="s">
        <v>28</v>
      </c>
      <c r="O33" s="3117" t="s">
        <v>19</v>
      </c>
      <c r="P33" s="3118"/>
      <c r="Q33" s="3118" t="s">
        <v>112</v>
      </c>
      <c r="R33" s="3120" t="s">
        <v>28</v>
      </c>
      <c r="S33" s="3121" t="s">
        <v>19</v>
      </c>
      <c r="T33" s="3118"/>
      <c r="U33" s="3118" t="s">
        <v>112</v>
      </c>
      <c r="V33" s="3120" t="s">
        <v>28</v>
      </c>
      <c r="W33" s="3116"/>
      <c r="X33" s="1332"/>
      <c r="Y33" s="1332"/>
      <c r="Z33" s="1332"/>
      <c r="AA33" s="1332"/>
      <c r="AB33" s="1332" t="s">
        <v>183</v>
      </c>
      <c r="AC33" s="1332" t="s">
        <v>184</v>
      </c>
      <c r="AD33" s="1332" t="s">
        <v>185</v>
      </c>
      <c r="AE33" s="1332" t="s">
        <v>186</v>
      </c>
      <c r="AF33" s="1332" t="s">
        <v>187</v>
      </c>
      <c r="AG33" s="1332" t="s">
        <v>188</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Производство тепловой энергии. Некомбинированная выработка; Передача. Теплоноситель; Сбыт. Теплоноситель</v>
      </c>
      <c r="AJ33" s="1332" t="str">
        <f>IF($J$33=0,"",$J$33)</f>
        <v/>
      </c>
      <c r="AK33" s="1332" t="str">
        <f>IF($K$33="нет","без дифференциации",IF($N$33=0,"",$N$33))</f>
        <v>без дифференциации</v>
      </c>
      <c r="AL33" s="1332" t="str">
        <f>IF($O$33="нет","без дифференциации",IF($R$33=0,"",$R$33))</f>
        <v>без дифференциации</v>
      </c>
      <c r="AM33" s="1332" t="str">
        <f>IF($S$33="нет","без дифференциации",IF($V$33=0,"",$V$33))</f>
        <v>без дифференциации</v>
      </c>
      <c r="AN33" s="1837">
        <f>$I$33</f>
        <v>1</v>
      </c>
      <c r="AO33" s="1332" t="str">
        <f>$I$33&amp;"."&amp;$M$33</f>
        <v>1.1</v>
      </c>
      <c r="AP33" s="1324" t="str">
        <f>$I$33&amp;"."&amp;$M$33&amp;"."&amp;$Q$33</f>
        <v>1.1.1</v>
      </c>
      <c r="AQ33" s="1324" t="str">
        <f>$I$33&amp;"."&amp;$M$33&amp;"."&amp;$Q$33&amp;"."&amp;$U$33</f>
        <v>1.1.1.1</v>
      </c>
      <c r="AR33" s="1348">
        <v>0</v>
      </c>
    </row>
    <row s="6339" customFormat="1" customHeight="1" ht="17.25">
      <c r="A34" s="386"/>
      <c r="C34" s="385"/>
      <c r="D34" s="2200"/>
      <c r="E34" s="2208"/>
      <c r="F34" s="2211"/>
      <c r="G34" s="3114"/>
      <c r="H34" s="3115"/>
      <c r="I34" s="3115"/>
      <c r="J34" s="3116"/>
      <c r="K34" s="3125"/>
      <c r="L34" s="3118"/>
      <c r="M34" s="3118"/>
      <c r="N34" s="3119" t="s">
        <v>28</v>
      </c>
      <c r="O34" s="3125"/>
      <c r="P34" s="3118"/>
      <c r="Q34" s="3118"/>
      <c r="R34" s="3120" t="s">
        <v>28</v>
      </c>
      <c r="S34" s="3121"/>
      <c r="T34" s="3219"/>
      <c r="U34" s="3220"/>
      <c r="V34" s="3221" t="s">
        <v>170</v>
      </c>
      <c r="W34" s="3222"/>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6339" customFormat="1" customHeight="1" ht="17.25">
      <c r="A35" s="386"/>
      <c r="C35" s="385"/>
      <c r="D35" s="2201"/>
      <c r="E35" s="2209"/>
      <c r="F35" s="2211"/>
      <c r="G35" s="3131"/>
      <c r="H35" s="3132"/>
      <c r="I35" s="3132"/>
      <c r="J35" s="3133"/>
      <c r="K35" s="3125"/>
      <c r="L35" s="3132"/>
      <c r="M35" s="3132"/>
      <c r="N35" s="3120" t="s">
        <v>28</v>
      </c>
      <c r="O35" s="3134"/>
      <c r="P35" s="3223"/>
      <c r="Q35" s="3224"/>
      <c r="R35" s="3225" t="s">
        <v>171</v>
      </c>
      <c r="S35" s="3226"/>
      <c r="T35" s="3227"/>
      <c r="U35" s="3228"/>
      <c r="V35" s="3229"/>
      <c r="W35" s="3230"/>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6339" customFormat="1" customHeight="1" ht="17.25">
      <c r="A36" s="386"/>
      <c r="C36" s="385"/>
      <c r="D36" s="2201"/>
      <c r="E36" s="2209"/>
      <c r="F36" s="2211"/>
      <c r="G36" s="3131"/>
      <c r="H36" s="3132"/>
      <c r="I36" s="3132"/>
      <c r="J36" s="3133"/>
      <c r="K36" s="3134"/>
      <c r="L36" s="3231"/>
      <c r="M36" s="3232"/>
      <c r="N36" s="3233" t="s">
        <v>172</v>
      </c>
      <c r="O36" s="3234"/>
      <c r="P36" s="3235"/>
      <c r="Q36" s="3236"/>
      <c r="R36" s="3237"/>
      <c r="S36" s="3238"/>
      <c r="T36" s="3239"/>
      <c r="U36" s="3240"/>
      <c r="V36" s="3241"/>
      <c r="W36" s="3242"/>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6339" customFormat="1" customHeight="1" ht="17.25">
      <c r="A37" s="386"/>
      <c r="C37" s="385"/>
      <c r="D37" s="2201"/>
      <c r="E37" s="2209"/>
      <c r="F37" s="2212"/>
      <c r="G37" s="3131"/>
      <c r="H37" s="3243"/>
      <c r="I37" s="3244"/>
      <c r="J37" s="3245" t="s">
        <v>173</v>
      </c>
      <c r="K37" s="3246"/>
      <c r="L37" s="3247"/>
      <c r="M37" s="3248"/>
      <c r="N37" s="3249"/>
      <c r="O37" s="3250"/>
      <c r="P37" s="3251"/>
      <c r="Q37" s="3252"/>
      <c r="R37" s="3253"/>
      <c r="S37" s="3254"/>
      <c r="T37" s="3255"/>
      <c r="U37" s="3256"/>
      <c r="V37" s="3257"/>
      <c r="W37" s="3258"/>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6339" customFormat="1" customHeight="1" ht="17.25">
      <c r="A38" s="386"/>
      <c r="C38" s="274"/>
      <c r="D38" s="2200">
        <v>5</v>
      </c>
      <c r="E38" s="2208" t="s">
        <v>189</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190</v>
      </c>
      <c r="AD38" s="1332" t="s">
        <v>191</v>
      </c>
      <c r="AE38" s="1332" t="s">
        <v>192</v>
      </c>
      <c r="AF38" s="1332" t="s">
        <v>193</v>
      </c>
      <c r="AG38" s="1332" t="s">
        <v>194</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6339"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6339"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6339"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6339"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6339" customFormat="1" customHeight="1" ht="17.25">
      <c r="A43" s="386"/>
      <c r="C43" s="274"/>
      <c r="D43" s="2200">
        <v>6</v>
      </c>
      <c r="E43" s="2208" t="s">
        <v>195</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196</v>
      </c>
      <c r="AD43" s="1332" t="s">
        <v>197</v>
      </c>
      <c r="AE43" s="1332" t="s">
        <v>198</v>
      </c>
      <c r="AF43" s="1332" t="s">
        <v>199</v>
      </c>
      <c r="AG43" s="1332" t="s">
        <v>200</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6339"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6339"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6339"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6339"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6339" customFormat="1" customHeight="1" ht="17.25">
      <c r="A48" s="386"/>
      <c r="C48" s="274"/>
      <c r="D48" s="2231">
        <v>7</v>
      </c>
      <c r="E48" s="2234" t="s">
        <v>201</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202</v>
      </c>
      <c r="AD48" s="1332" t="s">
        <v>203</v>
      </c>
      <c r="AE48" s="1332" t="s">
        <v>204</v>
      </c>
      <c r="AF48" s="1332" t="s">
        <v>205</v>
      </c>
      <c r="AG48" s="1332" t="s">
        <v>206</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6339" customFormat="1" customHeight="1" ht="17.25">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6339" customFormat="1" customHeight="1" ht="17.25">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6339" customFormat="1" customHeight="1" ht="17.25">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6339" customFormat="1" customHeight="1" ht="17.25">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6339" customFormat="1" customHeight="1" ht="17.25">
      <c r="A53" s="386"/>
      <c r="C53" s="274"/>
      <c r="D53" s="2200">
        <v>8</v>
      </c>
      <c r="E53" s="2208" t="s">
        <v>207</v>
      </c>
      <c r="F53" s="2210" t="s">
        <v>19</v>
      </c>
      <c r="G53" s="7159" t="s">
        <v>28</v>
      </c>
      <c r="H53" s="6341"/>
      <c r="I53" s="6342"/>
      <c r="J53" s="6387"/>
      <c r="K53" s="6345"/>
      <c r="L53" s="6345"/>
      <c r="M53" s="6345"/>
      <c r="N53" s="6343"/>
      <c r="O53" s="6345"/>
      <c r="P53" s="6345"/>
      <c r="Q53" s="6345"/>
      <c r="R53" s="6346"/>
      <c r="S53" s="6345"/>
      <c r="T53" s="6345"/>
      <c r="U53" s="6345"/>
      <c r="V53" s="6346"/>
      <c r="W53" s="3089"/>
      <c r="X53" s="1332"/>
      <c r="Y53" s="1332"/>
      <c r="Z53" s="1332"/>
      <c r="AA53" s="1332"/>
      <c r="AB53" s="1332"/>
      <c r="AC53" s="1332" t="s">
        <v>208</v>
      </c>
      <c r="AD53" s="1332" t="s">
        <v>209</v>
      </c>
      <c r="AE53" s="1332" t="s">
        <v>210</v>
      </c>
      <c r="AF53" s="1332" t="s">
        <v>211</v>
      </c>
      <c r="AG53" s="1332" t="s">
        <v>212</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6339" customFormat="1" customHeight="1" ht="17.25">
      <c r="A54" s="386"/>
      <c r="C54" s="385"/>
      <c r="D54" s="2200"/>
      <c r="E54" s="2208"/>
      <c r="F54" s="2211"/>
      <c r="G54" s="7159" t="s">
        <v>28</v>
      </c>
      <c r="H54" s="6347"/>
      <c r="I54" s="6348"/>
      <c r="J54" s="6389"/>
      <c r="K54" s="6352"/>
      <c r="L54" s="6352"/>
      <c r="M54" s="6352"/>
      <c r="N54" s="6349"/>
      <c r="O54" s="6352"/>
      <c r="P54" s="6352"/>
      <c r="Q54" s="6352"/>
      <c r="R54" s="6350"/>
      <c r="S54" s="6352"/>
      <c r="T54" s="6391"/>
      <c r="U54" s="6391"/>
      <c r="V54" s="6391"/>
      <c r="W54" s="3396"/>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6339" customFormat="1" customHeight="1" ht="17.25">
      <c r="A55" s="386"/>
      <c r="C55" s="385"/>
      <c r="D55" s="2201"/>
      <c r="E55" s="2209"/>
      <c r="F55" s="2211"/>
      <c r="G55" s="7160" t="s">
        <v>28</v>
      </c>
      <c r="H55" s="6347"/>
      <c r="I55" s="6348"/>
      <c r="J55" s="6351"/>
      <c r="K55" s="6352"/>
      <c r="L55" s="6352"/>
      <c r="M55" s="6352"/>
      <c r="N55" s="6350"/>
      <c r="O55" s="6352"/>
      <c r="P55" s="6352"/>
      <c r="Q55" s="6391"/>
      <c r="R55" s="6391"/>
      <c r="S55" s="6339"/>
      <c r="T55" s="6339"/>
      <c r="U55" s="6339"/>
      <c r="V55" s="6339"/>
      <c r="W55" s="3396"/>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6339" customFormat="1" customHeight="1" ht="17.25">
      <c r="A56" s="386"/>
      <c r="C56" s="274"/>
      <c r="D56" s="2201"/>
      <c r="E56" s="2209"/>
      <c r="F56" s="2211"/>
      <c r="G56" s="7160" t="s">
        <v>28</v>
      </c>
      <c r="H56" s="6347"/>
      <c r="I56" s="6348"/>
      <c r="J56" s="6351"/>
      <c r="K56" s="6352"/>
      <c r="L56" s="6391"/>
      <c r="M56" s="6391"/>
      <c r="N56" s="6391"/>
      <c r="O56" s="6391"/>
      <c r="P56" s="6391"/>
      <c r="Q56" s="6391"/>
      <c r="R56" s="6391"/>
      <c r="S56" s="6339"/>
      <c r="T56" s="6339"/>
      <c r="U56" s="6339"/>
      <c r="V56" s="6339"/>
      <c r="W56" s="3396"/>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6339" customFormat="1" customHeight="1" ht="17.25">
      <c r="A57" s="386"/>
      <c r="C57" s="385"/>
      <c r="D57" s="2201"/>
      <c r="E57" s="2209"/>
      <c r="F57" s="2212"/>
      <c r="G57" s="7160" t="s">
        <v>28</v>
      </c>
      <c r="H57" s="3109"/>
      <c r="I57" s="3406"/>
      <c r="J57" s="3406"/>
      <c r="K57" s="3406"/>
      <c r="L57" s="3406"/>
      <c r="M57" s="3406"/>
      <c r="N57" s="3406"/>
      <c r="O57" s="3406"/>
      <c r="P57" s="3406"/>
      <c r="Q57" s="3406"/>
      <c r="R57" s="3406"/>
      <c r="S57" s="6353"/>
      <c r="T57" s="6353"/>
      <c r="U57" s="6353"/>
      <c r="V57" s="6353"/>
      <c r="W57" s="340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6339" customFormat="1" customHeight="1" ht="17.25">
      <c r="A58" s="386"/>
      <c r="C58" s="274"/>
      <c r="D58" s="2200">
        <v>9</v>
      </c>
      <c r="E58" s="2208" t="s">
        <v>213</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214</v>
      </c>
      <c r="AD58" s="1332" t="s">
        <v>215</v>
      </c>
      <c r="AE58" s="1332" t="s">
        <v>216</v>
      </c>
      <c r="AF58" s="1332" t="s">
        <v>217</v>
      </c>
      <c r="AG58" s="1332" t="s">
        <v>218</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6339"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6339"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6339"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6339"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6339" customFormat="1" customHeight="1" ht="17.25" hidden="1">
      <c r="A63" s="386"/>
      <c r="C63" s="274"/>
      <c r="D63" s="2200">
        <v>10</v>
      </c>
      <c r="E63" s="2208" t="s">
        <v>219</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220</v>
      </c>
      <c r="AD63" s="1332" t="s">
        <v>221</v>
      </c>
      <c r="AE63" s="1332" t="s">
        <v>222</v>
      </c>
      <c r="AF63" s="1332" t="s">
        <v>223</v>
      </c>
      <c r="AG63" s="1332" t="s">
        <v>224</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6339"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6339"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6339"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6339"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225</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226</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227</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228</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229</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230</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231</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232</v>
      </c>
      <c r="F77" s="2237"/>
      <c r="G77" s="2238"/>
      <c r="H77" s="2238"/>
      <c r="I77" s="2238"/>
      <c r="J77" s="2238"/>
      <c r="K77" s="2238"/>
      <c r="L77" s="2238"/>
      <c r="M77" s="2238"/>
      <c r="N77" s="2238"/>
      <c r="O77" s="2238"/>
      <c r="P77" s="2238"/>
      <c r="Q77" s="2238"/>
      <c r="R77" s="2238"/>
      <c r="S77" s="2238"/>
      <c r="T77" s="2238"/>
      <c r="U77" s="2238"/>
      <c r="V77" s="2238"/>
      <c r="W77" s="2238"/>
      <c r="AR77" s="169">
        <v>0</v>
      </c>
    </row>
    <row s="6339"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6339" customFormat="1" customHeight="1" ht="17.25" hidden="1">
      <c r="A79" s="386"/>
      <c r="C79" s="274"/>
      <c r="D79" s="2200">
        <v>1</v>
      </c>
      <c r="E79" s="2208" t="s">
        <v>233</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234</v>
      </c>
      <c r="AD79" s="1332" t="s">
        <v>235</v>
      </c>
      <c r="AE79" s="1332" t="s">
        <v>236</v>
      </c>
      <c r="AF79" s="1332" t="s">
        <v>237</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6339"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6339"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6339"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6339"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6339" customFormat="1" customHeight="1" ht="17.25" hidden="1">
      <c r="A84" s="386"/>
      <c r="C84" s="274"/>
      <c r="D84" s="2200">
        <v>2</v>
      </c>
      <c r="E84" s="2208" t="s">
        <v>238</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239</v>
      </c>
      <c r="AD84" s="1332" t="s">
        <v>240</v>
      </c>
      <c r="AE84" s="1332" t="s">
        <v>241</v>
      </c>
      <c r="AF84" s="1332" t="s">
        <v>242</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6339"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6339"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6339"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6339"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6339" customFormat="1" customHeight="1" ht="17.25" hidden="1">
      <c r="A89" s="386"/>
      <c r="C89" s="274"/>
      <c r="D89" s="2200">
        <v>3</v>
      </c>
      <c r="E89" s="2208" t="s">
        <v>243</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244</v>
      </c>
      <c r="AD89" s="1332" t="s">
        <v>245</v>
      </c>
      <c r="AE89" s="1332" t="s">
        <v>246</v>
      </c>
      <c r="AF89" s="1332" t="s">
        <v>247</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6339"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6339"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6339"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6339"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6339" customFormat="1" customHeight="1" ht="17.25" hidden="1">
      <c r="A94" s="386"/>
      <c r="C94" s="274"/>
      <c r="D94" s="2200">
        <v>4</v>
      </c>
      <c r="E94" s="2208" t="s">
        <v>248</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249</v>
      </c>
      <c r="AD94" s="1332" t="s">
        <v>250</v>
      </c>
      <c r="AE94" s="1332" t="s">
        <v>251</v>
      </c>
      <c r="AF94" s="1332" t="s">
        <v>252</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6339"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6339"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6339"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6339"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6339" customFormat="1" customHeight="1" ht="17.25" hidden="1">
      <c r="A99" s="386"/>
      <c r="C99" s="274"/>
      <c r="D99" s="2200">
        <v>5</v>
      </c>
      <c r="E99" s="2208" t="s">
        <v>253</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254</v>
      </c>
      <c r="AD99" s="1332" t="s">
        <v>255</v>
      </c>
      <c r="AE99" s="1332" t="s">
        <v>256</v>
      </c>
      <c r="AF99" s="1332" t="s">
        <v>257</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6339"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6339"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6339"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6339"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6339"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6339" customFormat="1" customHeight="1" ht="17.25" hidden="1">
      <c r="A105" s="386"/>
      <c r="C105" s="274"/>
      <c r="D105" s="2200">
        <v>1</v>
      </c>
      <c r="E105" s="2208" t="s">
        <v>258</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259</v>
      </c>
      <c r="AD105" s="1332" t="s">
        <v>260</v>
      </c>
      <c r="AE105" s="1332" t="s">
        <v>261</v>
      </c>
      <c r="AF105" s="1332" t="s">
        <v>262</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6339"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6339"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6339"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6339"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6339" customFormat="1" customHeight="1" ht="17.25" hidden="1">
      <c r="A110" s="386"/>
      <c r="C110" s="274"/>
      <c r="D110" s="2200">
        <v>2</v>
      </c>
      <c r="E110" s="2208" t="s">
        <v>263</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264</v>
      </c>
      <c r="AD110" s="1332" t="s">
        <v>265</v>
      </c>
      <c r="AE110" s="1332" t="s">
        <v>266</v>
      </c>
      <c r="AF110" s="1332" t="s">
        <v>267</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6339"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6339"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6339"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6339"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6339" customFormat="1" customHeight="1" ht="17.25" hidden="1">
      <c r="A115" s="386"/>
      <c r="C115" s="274"/>
      <c r="D115" s="2200">
        <v>3</v>
      </c>
      <c r="E115" s="2208" t="s">
        <v>268</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269</v>
      </c>
      <c r="AD115" s="1332" t="s">
        <v>270</v>
      </c>
      <c r="AE115" s="1332" t="s">
        <v>271</v>
      </c>
      <c r="AF115" s="1332" t="s">
        <v>272</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6339"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6339"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6339"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6339"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6339"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6339" customFormat="1" customHeight="1" ht="17.25" hidden="1">
      <c r="A121" s="386"/>
      <c r="C121" s="274"/>
      <c r="D121" s="2200">
        <v>1</v>
      </c>
      <c r="E121" s="2208" t="s">
        <v>273</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274</v>
      </c>
      <c r="AD121" s="1332" t="s">
        <v>275</v>
      </c>
      <c r="AE121" s="1332" t="s">
        <v>276</v>
      </c>
      <c r="AF121" s="1332" t="s">
        <v>277</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6339"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6339"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6339"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6339"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6339" customFormat="1" customHeight="1" ht="17.25" hidden="1">
      <c r="A126" s="386"/>
      <c r="C126" s="274"/>
      <c r="D126" s="2200">
        <v>2</v>
      </c>
      <c r="E126" s="2208" t="s">
        <v>278</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279</v>
      </c>
      <c r="AD126" s="1332" t="s">
        <v>280</v>
      </c>
      <c r="AE126" s="1332" t="s">
        <v>281</v>
      </c>
      <c r="AF126" s="1332" t="s">
        <v>282</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6339"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6339"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6339"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6339"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6339" customFormat="1" customHeight="1" ht="17.25" hidden="1">
      <c r="A131" s="386"/>
      <c r="C131" s="274"/>
      <c r="D131" s="2200">
        <v>3</v>
      </c>
      <c r="E131" s="2208" t="s">
        <v>283</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284</v>
      </c>
      <c r="AD131" s="1332" t="s">
        <v>285</v>
      </c>
      <c r="AE131" s="1332" t="s">
        <v>286</v>
      </c>
      <c r="AF131" s="1332" t="s">
        <v>287</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6339"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6339"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6339"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6339"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N53:N55"/>
    <mergeCell ref="I53:I56"/>
    <mergeCell ref="L53:L55"/>
    <mergeCell ref="Q53:Q54"/>
    <mergeCell ref="R53:R54"/>
    <mergeCell ref="S53:S54"/>
    <mergeCell ref="P53:P54"/>
    <mergeCell ref="H53:H56"/>
    <mergeCell ref="J53:J56"/>
    <mergeCell ref="K53:K56"/>
    <mergeCell ref="M53:M55"/>
    <mergeCell ref="O53:O55"/>
  </mergeCells>
  <dataValidations count="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A5CEF-AFE3-4323-FFBB-0.BC44B33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6040" width="9.140625" hidden="1" customWidth="1"/>
    <col min="2" max="2" style="5796" width="9.140625" hidden="1" customWidth="1"/>
    <col min="3" max="3" style="5708" width="4.00390625" customWidth="1"/>
    <col min="4" max="4" style="5796" width="6.00390625" customWidth="1"/>
    <col min="5" max="5" style="5796" width="47.00390625" customWidth="1"/>
    <col min="6" max="6" style="5796" width="9.00390625" customWidth="1"/>
    <col min="7" max="7" style="5796" width="25.7109375" hidden="1" customWidth="1"/>
    <col min="8" max="8" style="5796" width="34.00390625" hidden="1" customWidth="1"/>
    <col min="9" max="9" style="5796" width="25.7109375" customWidth="1"/>
    <col min="10" max="10" style="5796" width="33.00390625" customWidth="1"/>
    <col min="11" max="11" style="5745" width="50.00390625" customWidth="1"/>
    <col min="12" max="20" style="5796" width="10.00390625" customWidth="1"/>
    <col min="21" max="21" style="5830" width="10.00390625" customWidth="1"/>
    <col min="22" max="22" style="5796" width="10.57421875" hidden="1"/>
  </cols>
  <sheetData>
    <row s="5745" customFormat="1" customHeight="1" ht="22.5" hidden="1">
      <c r="C1" s="737"/>
      <c r="G1" s="482">
        <v>4</v>
      </c>
      <c r="I1" s="482">
        <v>4</v>
      </c>
      <c r="U1" s="485"/>
      <c r="V1" s="482" t="s">
        <v>14</v>
      </c>
    </row>
    <row s="5796" customFormat="1" customHeight="1" ht="15" hidden="1">
      <c r="A2" s="427"/>
      <c r="C2" s="241"/>
      <c r="D2" s="411"/>
      <c r="E2" s="738"/>
      <c r="F2" s="587"/>
      <c r="G2" s="681"/>
      <c r="H2" s="681"/>
      <c r="I2" s="681"/>
      <c r="J2" s="681"/>
      <c r="U2" s="739"/>
      <c r="V2" s="574">
        <v>0</v>
      </c>
    </row>
    <row s="5745" customFormat="1" customHeight="1" ht="15" hidden="1">
      <c r="C3" s="737"/>
      <c r="U3" s="485"/>
      <c r="V3" s="482">
        <v>0</v>
      </c>
    </row>
    <row customHeight="1" ht="15.75">
      <c r="C4" s="241"/>
      <c r="D4" s="574"/>
      <c r="E4" s="574"/>
      <c r="F4" s="574"/>
      <c r="G4" s="574"/>
      <c r="H4" s="574"/>
      <c r="I4" s="574"/>
      <c r="J4" s="574"/>
      <c r="V4" s="570">
        <v>15</v>
      </c>
    </row>
    <row customHeight="1" ht="66">
      <c r="C5" s="241"/>
      <c r="D5" s="2302" t="s">
        <v>1175</v>
      </c>
      <c r="E5" s="2302"/>
      <c r="F5" s="2302"/>
      <c r="G5" s="2302"/>
      <c r="H5" s="2302"/>
      <c r="I5" s="2302"/>
      <c r="J5" s="2302"/>
      <c r="V5" s="570">
        <v>63</v>
      </c>
    </row>
    <row customHeight="1" ht="15.75">
      <c r="C6" s="241"/>
      <c r="D6" s="2241" t="str">
        <f>IF(org=0,"Не определено",org)</f>
        <v>Нарьян-Марское МУ ПОКиТС</v>
      </c>
      <c r="E6" s="2241"/>
      <c r="F6" s="2241"/>
      <c r="G6" s="2241"/>
      <c r="H6" s="2241"/>
      <c r="I6" s="2241"/>
      <c r="J6" s="2241"/>
      <c r="K6" s="602"/>
      <c r="V6" s="570">
        <v>15</v>
      </c>
    </row>
    <row customHeight="1" ht="15.75">
      <c r="C7" s="241"/>
      <c r="D7" s="817"/>
      <c r="E7" s="574"/>
      <c r="F7" s="574"/>
      <c r="G7" s="602">
        <v>22</v>
      </c>
      <c r="I7" s="602">
        <v>1</v>
      </c>
      <c r="J7" s="817"/>
      <c r="V7" s="570">
        <v>15</v>
      </c>
    </row>
    <row s="5796"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310</v>
      </c>
      <c r="V9" s="570">
        <v>15</v>
      </c>
    </row>
    <row s="5796" customFormat="1" customHeight="1" ht="15.75">
      <c r="A10" s="824"/>
      <c r="C10" s="241"/>
      <c r="D10" s="776"/>
      <c r="E10" s="2432" t="s">
        <v>577</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5796" customFormat="1" customHeight="1" ht="15.75">
      <c r="A11" s="824"/>
      <c r="C11" s="241"/>
      <c r="D11" s="776"/>
      <c r="E11" s="2432" t="s">
        <v>578</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5796" customFormat="1" customHeight="1" ht="15.75">
      <c r="A12" s="824"/>
      <c r="C12" s="241"/>
      <c r="D12" s="2434" t="s">
        <v>309</v>
      </c>
      <c r="E12" s="2435"/>
      <c r="F12" s="2435"/>
      <c r="G12" s="952"/>
      <c r="H12" s="952"/>
      <c r="I12" s="952"/>
      <c r="J12" s="952"/>
      <c r="K12" s="2264"/>
      <c r="U12" s="740"/>
      <c r="V12" s="823">
        <v>15</v>
      </c>
    </row>
    <row customHeight="1" ht="35.699999999999996">
      <c r="C13" s="241"/>
      <c r="D13" s="870" t="s">
        <v>91</v>
      </c>
      <c r="E13" s="872" t="s">
        <v>311</v>
      </c>
      <c r="F13" s="872" t="s">
        <v>579</v>
      </c>
      <c r="G13" s="873" t="s">
        <v>312</v>
      </c>
      <c r="H13" s="872" t="s">
        <v>399</v>
      </c>
      <c r="I13" s="873" t="s">
        <v>312</v>
      </c>
      <c r="J13" s="872" t="s">
        <v>399</v>
      </c>
      <c r="K13" s="2297"/>
      <c r="V13" s="570">
        <v>34</v>
      </c>
    </row>
    <row customHeight="1" ht="15" hidden="1">
      <c r="C14" s="241"/>
      <c r="D14" s="658" t="s">
        <v>112</v>
      </c>
      <c r="E14" s="658" t="s">
        <v>113</v>
      </c>
      <c r="F14" s="658" t="s">
        <v>93</v>
      </c>
      <c r="G14" s="724" t="str">
        <f>G1&amp;".1"</f>
        <v>4.1</v>
      </c>
      <c r="H14" s="724"/>
      <c r="I14" s="724" t="str">
        <f>I1&amp;".1"</f>
        <v>4.1</v>
      </c>
      <c r="J14" s="724"/>
      <c r="K14" s="354"/>
      <c r="V14" s="570">
        <v>0</v>
      </c>
    </row>
    <row customHeight="1" ht="22.5" hidden="1">
      <c r="A15" s="570"/>
      <c r="C15" s="591"/>
      <c r="D15" s="586">
        <v>1</v>
      </c>
      <c r="E15" s="742" t="s">
        <v>821</v>
      </c>
      <c r="F15" s="586" t="s">
        <v>822</v>
      </c>
      <c r="G15" s="743"/>
      <c r="H15" s="743"/>
      <c r="I15" s="743"/>
      <c r="J15" s="743"/>
      <c r="K15" s="354" t="s">
        <v>823</v>
      </c>
      <c r="V15" s="570">
        <v>0</v>
      </c>
    </row>
    <row customHeight="1" ht="22.5" hidden="1">
      <c r="A16" s="570"/>
      <c r="C16" s="591"/>
      <c r="D16" s="586">
        <v>2</v>
      </c>
      <c r="E16" s="344" t="s">
        <v>824</v>
      </c>
      <c r="F16" s="586" t="s">
        <v>825</v>
      </c>
      <c r="G16" s="743"/>
      <c r="H16" s="743"/>
      <c r="I16" s="743"/>
      <c r="J16" s="743"/>
      <c r="K16" s="354" t="s">
        <v>826</v>
      </c>
      <c r="V16" s="570">
        <v>0</v>
      </c>
    </row>
    <row customHeight="1" ht="123.75" hidden="1">
      <c r="A17" s="570"/>
      <c r="C17" s="591"/>
      <c r="D17" s="586">
        <v>3</v>
      </c>
      <c r="E17" s="344" t="s">
        <v>1176</v>
      </c>
      <c r="F17" s="586" t="s">
        <v>315</v>
      </c>
      <c r="G17" s="743"/>
      <c r="H17" s="743"/>
      <c r="I17" s="743"/>
      <c r="J17" s="743"/>
      <c r="K17" s="354" t="s">
        <v>1177</v>
      </c>
      <c r="V17" s="570">
        <v>0</v>
      </c>
    </row>
    <row customHeight="1" ht="48.29999999999999">
      <c r="A18" s="570"/>
      <c r="C18" s="591"/>
      <c r="D18" s="586">
        <v>3</v>
      </c>
      <c r="E18" s="344" t="s">
        <v>827</v>
      </c>
      <c r="F18" s="586" t="s">
        <v>315</v>
      </c>
      <c r="G18" s="874" t="s">
        <v>315</v>
      </c>
      <c r="H18" s="875" t="s">
        <v>315</v>
      </c>
      <c r="I18" s="586" t="s">
        <v>315</v>
      </c>
      <c r="J18" s="643" t="s">
        <v>315</v>
      </c>
      <c r="K18" s="354" t="s">
        <v>1178</v>
      </c>
      <c r="V18" s="570">
        <v>46</v>
      </c>
    </row>
    <row customHeight="1" ht="35.699999999999996">
      <c r="A19" s="570"/>
      <c r="C19" s="591"/>
      <c r="D19" s="604" t="s">
        <v>333</v>
      </c>
      <c r="E19" s="624" t="s">
        <v>829</v>
      </c>
      <c r="F19" s="586" t="s">
        <v>830</v>
      </c>
      <c r="G19" s="882"/>
      <c r="H19" s="171"/>
      <c r="I19" s="882"/>
      <c r="J19" s="883"/>
      <c r="K19" s="744"/>
      <c r="V19" s="570">
        <v>34</v>
      </c>
    </row>
    <row customHeight="1" ht="35.699999999999996">
      <c r="A20" s="570"/>
      <c r="C20" s="591"/>
      <c r="D20" s="1955" t="s">
        <v>341</v>
      </c>
      <c r="E20" s="624" t="s">
        <v>831</v>
      </c>
      <c r="F20" s="586" t="s">
        <v>832</v>
      </c>
      <c r="G20" s="882"/>
      <c r="H20" s="171"/>
      <c r="I20" s="882"/>
      <c r="J20" s="171"/>
      <c r="K20" s="744"/>
      <c r="V20" s="570">
        <v>34</v>
      </c>
    </row>
    <row customHeight="1" ht="48.29999999999999">
      <c r="A21" s="570"/>
      <c r="C21" s="591"/>
      <c r="D21" s="1955" t="s">
        <v>343</v>
      </c>
      <c r="E21" s="624" t="s">
        <v>833</v>
      </c>
      <c r="F21" s="586" t="s">
        <v>584</v>
      </c>
      <c r="G21" s="745"/>
      <c r="H21" s="171"/>
      <c r="I21" s="745"/>
      <c r="J21" s="171"/>
      <c r="K21" s="744"/>
      <c r="V21" s="570">
        <v>46</v>
      </c>
    </row>
    <row customHeight="1" ht="67.5" hidden="1">
      <c r="A22" s="570"/>
      <c r="C22" s="591"/>
      <c r="D22" s="586">
        <v>5</v>
      </c>
      <c r="E22" s="344" t="s">
        <v>1179</v>
      </c>
      <c r="F22" s="586" t="s">
        <v>571</v>
      </c>
      <c r="G22" s="746"/>
      <c r="H22" s="747"/>
      <c r="I22" s="746"/>
      <c r="J22" s="747"/>
      <c r="K22" s="354" t="s">
        <v>1180</v>
      </c>
      <c r="V22" s="570">
        <v>0</v>
      </c>
    </row>
    <row customHeight="1" ht="33.75" hidden="1">
      <c r="C23" s="516"/>
      <c r="D23" s="586">
        <v>6</v>
      </c>
      <c r="E23" s="344" t="s">
        <v>1181</v>
      </c>
      <c r="F23" s="586" t="s">
        <v>1182</v>
      </c>
      <c r="G23" s="746"/>
      <c r="H23" s="746"/>
      <c r="I23" s="746"/>
      <c r="J23" s="746"/>
      <c r="K23" s="354" t="s">
        <v>1183</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95D7FB-7FA1-80DD-8D31-0.0158FF2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701" width="32.57421875" customWidth="1"/>
    <col min="2" max="2" style="6516" width="11.00390625" customWidth="1"/>
    <col min="3" max="3" style="6516" width="9.140625"/>
    <col min="4" max="4" style="6516" width="26.57421875" customWidth="1"/>
    <col min="5" max="5" style="6258" width="36.8515625" customWidth="1"/>
    <col min="6" max="6" style="6258" width="23.57421875" customWidth="1"/>
    <col min="7" max="7" style="6258" width="31.421875" customWidth="1"/>
    <col min="8" max="8" style="6258" width="40.8515625" customWidth="1"/>
    <col min="9" max="9" style="6258" width="14.57421875" customWidth="1"/>
    <col min="10" max="10" style="6258" width="26.8515625" customWidth="1"/>
    <col min="11" max="11" style="6258" width="50.00390625" customWidth="1"/>
    <col min="12" max="12" style="6258" width="52.421875" customWidth="1"/>
    <col min="13" max="13" style="6258" width="10.7109375" customWidth="1"/>
    <col min="14" max="14" style="6258" width="55.140625" customWidth="1"/>
    <col min="15" max="15" style="6258" width="31.8515625" customWidth="1"/>
    <col min="16" max="16" style="6258" width="23.8515625" customWidth="1"/>
    <col min="17" max="17" style="6258" width="46.57421875" customWidth="1"/>
    <col min="18" max="18" style="6258" width="24.00390625" customWidth="1"/>
    <col min="19" max="19" style="6258" width="20.57421875" customWidth="1"/>
    <col min="20" max="20" style="6258" width="22.00390625" customWidth="1"/>
    <col min="21" max="22" style="6258" width="26.421875" customWidth="1"/>
    <col min="23" max="23" style="6258" width="8.28125" hidden="1" customWidth="1"/>
    <col min="24" max="24" style="6258" width="59.7109375" customWidth="1"/>
    <col min="25" max="25" style="6258" width="49.140625" customWidth="1"/>
    <col min="26" max="26" style="6258" width="11.140625" customWidth="1"/>
    <col min="27" max="30" style="6258" width="29.00390625" customWidth="1"/>
    <col min="31" max="31" style="6258" width="9.140625"/>
    <col min="32" max="32" style="6258" width="34.7109375" customWidth="1"/>
    <col min="33" max="33" style="6258" width="9.140625"/>
    <col min="34" max="35" style="6258" width="34.421875" customWidth="1"/>
    <col min="36" max="36" style="6258" width="9.140625"/>
    <col min="37" max="37" style="6258" width="24.57421875" customWidth="1"/>
    <col min="38" max="38" style="6258" width="9.140625"/>
    <col min="39" max="39" style="6258" width="26.140625" customWidth="1"/>
    <col min="40" max="40" style="6258" width="1.7109375" customWidth="1"/>
    <col min="41" max="41" style="6258" width="9.140625"/>
    <col min="42" max="43" style="6258" width="47.8515625" customWidth="1"/>
    <col min="44" max="44" style="6258" width="1.7109375" customWidth="1"/>
    <col min="45" max="45" style="6258" width="21.421875" customWidth="1"/>
    <col min="46" max="46" style="6258" width="1.7109375" customWidth="1"/>
    <col min="47" max="47" style="6258" width="31.28125" customWidth="1"/>
    <col min="48" max="48" style="6258" width="1.7109375" customWidth="1"/>
    <col min="49" max="50" style="6258" width="9.140625"/>
    <col min="51" max="51" style="6258" width="3.7109375" customWidth="1"/>
    <col min="52" max="52" style="6258" width="60.8515625" customWidth="1"/>
    <col min="53" max="53" style="6258" width="49.28125" customWidth="1"/>
    <col min="54" max="54" style="6258" width="35.140625" customWidth="1"/>
    <col min="55" max="55" style="6258" width="9.140625"/>
    <col min="56" max="56" style="6258" width="1.7109375" customWidth="1"/>
    <col min="57" max="57" style="5938" width="12.57421875" customWidth="1"/>
    <col min="58" max="58" style="5938" width="14.28125" customWidth="1"/>
    <col min="59" max="59" style="6258" width="30.7109375" customWidth="1"/>
    <col min="60" max="60" style="5939" width="40.7109375" customWidth="1"/>
    <col min="61" max="61" style="5939" width="15.00390625" customWidth="1"/>
    <col min="62" max="62" style="5939" width="40.7109375" customWidth="1"/>
    <col min="63" max="63" style="5939" width="2.7109375" customWidth="1"/>
    <col min="64" max="64" style="5939" width="44.7109375" customWidth="1"/>
    <col min="65" max="65" style="5939" width="2.7109375" customWidth="1"/>
    <col min="66" max="66" style="5939" width="40.7109375" customWidth="1"/>
    <col min="67" max="68" style="6258" width="9.140625"/>
    <col min="69" max="69" style="6258" width="18.140625" customWidth="1"/>
    <col min="70" max="70" style="6258" width="57.8515625" customWidth="1"/>
    <col min="71" max="71" style="6258" width="1.7109375" customWidth="1"/>
    <col min="72" max="72" style="6258" width="22.57421875" customWidth="1"/>
    <col min="73" max="73" style="6258" width="57.8515625" customWidth="1"/>
    <col min="74" max="74" style="6258" width="1.7109375" customWidth="1"/>
    <col min="75" max="75" style="6258" width="22.57421875" customWidth="1"/>
    <col min="76" max="76" style="6258" width="57.8515625" customWidth="1"/>
    <col min="77" max="77" style="6258" width="1.7109375" customWidth="1"/>
    <col min="78" max="78" style="6258" width="22.57421875" customWidth="1"/>
    <col min="79" max="79" style="6258" width="57.8515625" customWidth="1"/>
    <col min="80" max="81" style="6258" width="9.140625"/>
    <col min="82" max="82" style="6258" width="49.57421875" customWidth="1"/>
  </cols>
  <sheetData>
    <row s="5842" customFormat="1" customHeight="1" ht="11.25">
      <c r="A1" s="1132" t="s">
        <v>1184</v>
      </c>
      <c r="B1" s="1132" t="s">
        <v>1185</v>
      </c>
      <c r="C1" s="1132" t="s">
        <v>1186</v>
      </c>
      <c r="D1" s="1132" t="s">
        <v>1187</v>
      </c>
      <c r="E1" s="1132" t="s">
        <v>1188</v>
      </c>
      <c r="F1" s="1132" t="s">
        <v>1189</v>
      </c>
      <c r="G1" s="1132" t="s">
        <v>1190</v>
      </c>
      <c r="H1" s="1132" t="s">
        <v>1191</v>
      </c>
      <c r="I1" s="1132" t="s">
        <v>1192</v>
      </c>
      <c r="J1" s="1132" t="s">
        <v>1193</v>
      </c>
      <c r="K1" s="1132" t="s">
        <v>1194</v>
      </c>
      <c r="L1" s="1132" t="s">
        <v>1195</v>
      </c>
      <c r="M1" s="1132"/>
      <c r="N1" s="1132" t="s">
        <v>1196</v>
      </c>
      <c r="O1" s="1132" t="s">
        <v>1197</v>
      </c>
      <c r="P1" s="1132" t="s">
        <v>1198</v>
      </c>
      <c r="Q1" s="1132" t="s">
        <v>1199</v>
      </c>
      <c r="R1" s="1132" t="s">
        <v>1200</v>
      </c>
      <c r="S1" s="1132" t="s">
        <v>1201</v>
      </c>
      <c r="T1" s="1132" t="s">
        <v>1202</v>
      </c>
      <c r="U1" s="1132" t="s">
        <v>1203</v>
      </c>
      <c r="V1" s="1132"/>
      <c r="W1" s="862" t="s">
        <v>1204</v>
      </c>
      <c r="X1" s="1132" t="s">
        <v>1205</v>
      </c>
      <c r="Y1" s="1132" t="s">
        <v>1206</v>
      </c>
      <c r="Z1" s="1132"/>
      <c r="AA1" s="1132" t="s">
        <v>1207</v>
      </c>
      <c r="AB1" s="1132"/>
      <c r="AC1" s="1132" t="s">
        <v>1208</v>
      </c>
      <c r="AD1" s="1132"/>
      <c r="AF1" s="1132" t="s">
        <v>1209</v>
      </c>
      <c r="AH1" s="1132" t="s">
        <v>1210</v>
      </c>
      <c r="AI1" s="1132" t="s">
        <v>1211</v>
      </c>
      <c r="AK1" s="1132" t="s">
        <v>1212</v>
      </c>
      <c r="AM1" s="1132" t="s">
        <v>1213</v>
      </c>
      <c r="AP1" s="1132" t="s">
        <v>1214</v>
      </c>
      <c r="AQ1" s="1132" t="s">
        <v>1215</v>
      </c>
      <c r="AS1" s="1132" t="s">
        <v>1216</v>
      </c>
      <c r="AU1" s="1132" t="s">
        <v>1217</v>
      </c>
      <c r="AW1" s="1132" t="s">
        <v>1218</v>
      </c>
      <c r="AX1" s="1132" t="s">
        <v>1219</v>
      </c>
      <c r="AZ1" s="1217" t="s">
        <v>1220</v>
      </c>
      <c r="BB1" s="1132" t="s">
        <v>1221</v>
      </c>
      <c r="BC1" s="1132"/>
      <c r="BE1" s="1132" t="s">
        <v>1222</v>
      </c>
      <c r="BF1" s="1132" t="s">
        <v>1223</v>
      </c>
      <c r="BH1" s="1134" t="s">
        <v>820</v>
      </c>
      <c r="BI1" s="1135"/>
      <c r="BJ1" s="1136" t="s">
        <v>1224</v>
      </c>
      <c r="BK1" s="1135"/>
      <c r="BL1" s="1137" t="s">
        <v>919</v>
      </c>
      <c r="BM1" s="1135"/>
      <c r="BN1" s="1138" t="s">
        <v>1225</v>
      </c>
      <c r="BS1" s="1492"/>
    </row>
    <row customHeight="1" ht="11.25">
      <c r="A2" s="1139" t="s">
        <v>1226</v>
      </c>
      <c r="B2" s="1140">
        <v>2000</v>
      </c>
      <c r="C2" s="1140">
        <v>2022</v>
      </c>
      <c r="D2" s="1140" t="s">
        <v>64</v>
      </c>
      <c r="E2" s="1141" t="s">
        <v>1227</v>
      </c>
      <c r="F2" s="1141" t="s">
        <v>1228</v>
      </c>
      <c r="G2" s="1141" t="s">
        <v>1229</v>
      </c>
      <c r="H2" s="1142" t="s">
        <v>58</v>
      </c>
      <c r="I2" s="1141" t="s">
        <v>112</v>
      </c>
      <c r="J2" s="1141" t="s">
        <v>1230</v>
      </c>
      <c r="K2" s="1143" t="s">
        <v>1231</v>
      </c>
      <c r="L2" s="1144"/>
      <c r="M2" s="1143">
        <v>1</v>
      </c>
      <c r="N2" s="1227" t="s">
        <v>1232</v>
      </c>
      <c r="O2" s="1142" t="s">
        <v>458</v>
      </c>
      <c r="P2" s="1145" t="s">
        <v>1233</v>
      </c>
      <c r="Q2" s="1146" t="s">
        <v>1234</v>
      </c>
      <c r="R2" s="208" t="s">
        <v>1235</v>
      </c>
      <c r="S2" s="208" t="s">
        <v>1236</v>
      </c>
      <c r="T2" s="1147" t="s">
        <v>1237</v>
      </c>
      <c r="U2" s="1144" t="s">
        <v>1238</v>
      </c>
      <c r="V2" s="1148">
        <v>1</v>
      </c>
      <c r="W2" s="1149"/>
      <c r="X2" s="1149" t="s">
        <v>1239</v>
      </c>
      <c r="Y2" s="1140" t="s">
        <v>1240</v>
      </c>
      <c r="Z2" s="1150"/>
      <c r="AA2" s="1140" t="s">
        <v>1241</v>
      </c>
      <c r="AB2" s="1151" t="s">
        <v>1241</v>
      </c>
      <c r="AC2" s="1140" t="s">
        <v>1242</v>
      </c>
      <c r="AD2" s="1151" t="s">
        <v>1242</v>
      </c>
      <c r="AF2" s="1142" t="s">
        <v>1238</v>
      </c>
      <c r="AH2" s="1141" t="s">
        <v>1243</v>
      </c>
      <c r="AI2" s="1141" t="s">
        <v>1243</v>
      </c>
      <c r="AK2" s="1141" t="s">
        <v>1244</v>
      </c>
      <c r="AM2" s="1141" t="s">
        <v>1245</v>
      </c>
      <c r="AP2" s="1152" t="s">
        <v>1239</v>
      </c>
      <c r="AQ2" s="1153" t="s">
        <v>1239</v>
      </c>
      <c r="AS2" s="1140" t="s">
        <v>1246</v>
      </c>
      <c r="AU2" s="1185" t="s">
        <v>1247</v>
      </c>
      <c r="AW2" s="1185" t="s">
        <v>1248</v>
      </c>
      <c r="AX2" s="1185" t="s">
        <v>1248</v>
      </c>
      <c r="AZ2" s="1185" t="s">
        <v>56</v>
      </c>
      <c r="BB2" s="1185" t="s">
        <v>1249</v>
      </c>
      <c r="BC2" s="1185" t="s">
        <v>1250</v>
      </c>
      <c r="BE2" s="1185">
        <v>2000</v>
      </c>
      <c r="BF2" s="1185" t="s">
        <v>1251</v>
      </c>
    </row>
    <row customHeight="1" ht="11.25">
      <c r="A3" s="1139" t="s">
        <v>1252</v>
      </c>
      <c r="B3" s="1140">
        <v>2001</v>
      </c>
      <c r="C3" s="1140">
        <v>2023</v>
      </c>
      <c r="D3" s="1140" t="s">
        <v>19</v>
      </c>
      <c r="E3" s="1141" t="s">
        <v>1253</v>
      </c>
      <c r="F3" s="1141" t="s">
        <v>1254</v>
      </c>
      <c r="G3" s="1141" t="s">
        <v>1255</v>
      </c>
      <c r="H3" s="1142" t="s">
        <v>1256</v>
      </c>
      <c r="I3" s="1141" t="s">
        <v>113</v>
      </c>
      <c r="J3" s="1141" t="s">
        <v>569</v>
      </c>
      <c r="K3" s="1143" t="s">
        <v>1257</v>
      </c>
      <c r="L3" s="1144">
        <f>_xlfn.IFERROR(MATCH(K3,OFFER_METHOD,0),0)</f>
        <v>0</v>
      </c>
      <c r="M3" s="1143">
        <v>2</v>
      </c>
      <c r="N3" s="1227" t="s">
        <v>1258</v>
      </c>
      <c r="O3" s="1142" t="s">
        <v>1259</v>
      </c>
      <c r="P3" s="1145" t="s">
        <v>37</v>
      </c>
      <c r="Q3" s="1146" t="s">
        <v>1260</v>
      </c>
      <c r="R3" s="208" t="s">
        <v>1261</v>
      </c>
      <c r="S3" s="208" t="s">
        <v>1262</v>
      </c>
      <c r="T3" s="1147" t="s">
        <v>1263</v>
      </c>
      <c r="U3" s="1144" t="s">
        <v>1264</v>
      </c>
      <c r="V3" s="1148">
        <v>2</v>
      </c>
      <c r="W3" s="1149"/>
      <c r="X3" s="1149" t="s">
        <v>1265</v>
      </c>
      <c r="Y3" s="1140" t="s">
        <v>1240</v>
      </c>
      <c r="Z3" s="1150"/>
      <c r="AA3" s="1140" t="s">
        <v>1266</v>
      </c>
      <c r="AB3" s="1151" t="s">
        <v>1266</v>
      </c>
      <c r="AC3" s="1140" t="s">
        <v>1267</v>
      </c>
      <c r="AD3" s="1151" t="s">
        <v>1267</v>
      </c>
      <c r="AF3" s="1142" t="s">
        <v>1264</v>
      </c>
      <c r="AH3" s="1141" t="s">
        <v>1268</v>
      </c>
      <c r="AI3" s="1141" t="s">
        <v>1269</v>
      </c>
      <c r="AK3" s="1141" t="s">
        <v>1270</v>
      </c>
      <c r="AM3" s="1141" t="s">
        <v>1271</v>
      </c>
      <c r="AP3" s="1152" t="s">
        <v>163</v>
      </c>
      <c r="AQ3" s="1153" t="s">
        <v>163</v>
      </c>
      <c r="AS3" s="1140" t="s">
        <v>1272</v>
      </c>
      <c r="AU3" s="1185" t="s">
        <v>1273</v>
      </c>
      <c r="AW3" s="1185" t="s">
        <v>1274</v>
      </c>
      <c r="AX3" s="1185" t="s">
        <v>1274</v>
      </c>
      <c r="AZ3" s="1185" t="s">
        <v>1275</v>
      </c>
      <c r="BB3" s="1185" t="s">
        <v>1276</v>
      </c>
      <c r="BC3" s="1185" t="s">
        <v>1250</v>
      </c>
      <c r="BE3" s="1185">
        <v>2001</v>
      </c>
      <c r="BF3" s="1185" t="s">
        <v>1277</v>
      </c>
      <c r="BH3" s="1132" t="s">
        <v>1278</v>
      </c>
      <c r="BJ3" s="1132" t="s">
        <v>1279</v>
      </c>
      <c r="BL3" s="1132" t="s">
        <v>1280</v>
      </c>
      <c r="BN3" s="1132" t="s">
        <v>1281</v>
      </c>
      <c r="BR3" s="1132" t="s">
        <v>1282</v>
      </c>
      <c r="BS3" s="1493"/>
      <c r="BT3" s="1135"/>
      <c r="BU3" s="1132" t="s">
        <v>1283</v>
      </c>
      <c r="BV3" s="1135"/>
      <c r="BW3" s="1755"/>
      <c r="BX3" s="1757" t="s">
        <v>1284</v>
      </c>
      <c r="CA3" s="1132" t="s">
        <v>1285</v>
      </c>
    </row>
    <row customHeight="1" ht="11.25">
      <c r="A4" s="1139" t="s">
        <v>1286</v>
      </c>
      <c r="B4" s="1140">
        <v>2002</v>
      </c>
      <c r="C4" s="1140">
        <v>2024</v>
      </c>
      <c r="E4" s="1141" t="s">
        <v>1287</v>
      </c>
      <c r="F4" s="1141" t="s">
        <v>1288</v>
      </c>
      <c r="H4" s="1142" t="s">
        <v>1289</v>
      </c>
      <c r="I4" s="1141" t="s">
        <v>93</v>
      </c>
      <c r="J4" s="1141" t="s">
        <v>1290</v>
      </c>
      <c r="K4" s="1143" t="s">
        <v>1291</v>
      </c>
      <c r="L4" s="1144">
        <f>_xlfn.IFERROR(MATCH(K4,OFFER_METHOD,0),0)</f>
        <v>0</v>
      </c>
      <c r="M4" s="1143">
        <v>3</v>
      </c>
      <c r="N4" s="1227" t="s">
        <v>1292</v>
      </c>
      <c r="O4" s="1141" t="s">
        <v>1293</v>
      </c>
      <c r="Q4" s="1146" t="s">
        <v>456</v>
      </c>
      <c r="R4" s="208" t="s">
        <v>1294</v>
      </c>
      <c r="S4" s="208" t="s">
        <v>1295</v>
      </c>
      <c r="T4" s="1147" t="s">
        <v>1296</v>
      </c>
      <c r="U4" s="1144" t="s">
        <v>1297</v>
      </c>
      <c r="V4" s="1148">
        <v>3</v>
      </c>
      <c r="W4" s="1149"/>
      <c r="X4" s="1149" t="s">
        <v>1298</v>
      </c>
      <c r="Y4" s="1140" t="s">
        <v>1240</v>
      </c>
      <c r="Z4" s="1156"/>
      <c r="AC4" s="1140" t="s">
        <v>1299</v>
      </c>
      <c r="AD4" s="1151" t="s">
        <v>1299</v>
      </c>
      <c r="AF4" s="1142" t="s">
        <v>1297</v>
      </c>
      <c r="AH4" s="1142" t="s">
        <v>1300</v>
      </c>
      <c r="AK4" s="1141" t="s">
        <v>1301</v>
      </c>
      <c r="AM4" s="1141" t="s">
        <v>1302</v>
      </c>
      <c r="AP4" s="1152" t="s">
        <v>1265</v>
      </c>
      <c r="AQ4" s="1153" t="s">
        <v>1265</v>
      </c>
      <c r="AS4" s="1140" t="s">
        <v>1303</v>
      </c>
      <c r="AU4" s="1185" t="s">
        <v>1304</v>
      </c>
      <c r="AW4" s="1185" t="s">
        <v>1305</v>
      </c>
      <c r="AX4" s="1185" t="s">
        <v>1305</v>
      </c>
      <c r="AZ4" s="1185" t="s">
        <v>1306</v>
      </c>
      <c r="BB4" s="1185" t="s">
        <v>1307</v>
      </c>
      <c r="BC4" s="1185" t="s">
        <v>1308</v>
      </c>
      <c r="BE4" s="1185">
        <v>2002</v>
      </c>
      <c r="BF4" s="1185" t="s">
        <v>1309</v>
      </c>
      <c r="BH4" s="1133" t="s">
        <v>1310</v>
      </c>
      <c r="BJ4" s="1133" t="s">
        <v>1310</v>
      </c>
      <c r="BL4" s="1133" t="s">
        <v>1310</v>
      </c>
      <c r="BN4" s="1133" t="s">
        <v>1310</v>
      </c>
      <c r="BQ4" s="1497" t="s">
        <v>1311</v>
      </c>
      <c r="BR4" s="1224" t="s">
        <v>1312</v>
      </c>
      <c r="BS4" s="339"/>
      <c r="BT4" s="1497" t="s">
        <v>1313</v>
      </c>
      <c r="BU4" s="1224" t="s">
        <v>1314</v>
      </c>
      <c r="BV4" s="1135"/>
      <c r="BW4" s="1762" t="s">
        <v>1315</v>
      </c>
      <c r="BX4" s="1756" t="s">
        <v>1316</v>
      </c>
      <c r="BZ4" s="1497" t="s">
        <v>1317</v>
      </c>
      <c r="CA4" s="1224" t="s">
        <v>1318</v>
      </c>
    </row>
    <row customHeight="1" ht="11.25">
      <c r="A5" s="1139" t="s">
        <v>1319</v>
      </c>
      <c r="B5" s="1140">
        <v>2003</v>
      </c>
      <c r="C5" s="1140">
        <v>2025</v>
      </c>
      <c r="E5" s="1141" t="s">
        <v>1320</v>
      </c>
      <c r="F5" s="1141" t="s">
        <v>1321</v>
      </c>
      <c r="H5" s="1142" t="s">
        <v>1322</v>
      </c>
      <c r="I5" s="1141" t="s">
        <v>94</v>
      </c>
      <c r="K5" s="1143" t="s">
        <v>1323</v>
      </c>
      <c r="L5" s="1144">
        <f>_xlfn.IFERROR(MATCH(K5,OFFER_METHOD,0),0)</f>
        <v>0</v>
      </c>
      <c r="M5" s="1143">
        <v>4</v>
      </c>
      <c r="N5" s="1157" t="s">
        <v>1324</v>
      </c>
      <c r="O5" s="1141" t="s">
        <v>1325</v>
      </c>
      <c r="Q5" s="1146" t="s">
        <v>1326</v>
      </c>
      <c r="R5" s="208" t="s">
        <v>457</v>
      </c>
      <c r="T5" s="1142" t="s">
        <v>1327</v>
      </c>
      <c r="U5" s="1144" t="s">
        <v>1328</v>
      </c>
      <c r="V5" s="1148">
        <v>4</v>
      </c>
      <c r="W5" s="1149"/>
      <c r="X5" s="1149" t="s">
        <v>175</v>
      </c>
      <c r="Y5" s="1140" t="s">
        <v>1329</v>
      </c>
      <c r="Z5" s="1156">
        <v>1</v>
      </c>
      <c r="AF5" s="1142" t="s">
        <v>1330</v>
      </c>
      <c r="AH5" s="1141" t="s">
        <v>1331</v>
      </c>
      <c r="AK5" s="1141" t="s">
        <v>1332</v>
      </c>
      <c r="AM5" s="1141" t="s">
        <v>1333</v>
      </c>
      <c r="AP5" s="1152" t="s">
        <v>175</v>
      </c>
      <c r="AQ5" s="1153" t="s">
        <v>175</v>
      </c>
      <c r="AU5" s="1185" t="s">
        <v>1334</v>
      </c>
      <c r="AW5" s="1185" t="s">
        <v>1335</v>
      </c>
      <c r="AX5" s="1185" t="s">
        <v>1335</v>
      </c>
      <c r="AZ5" s="1185" t="s">
        <v>1336</v>
      </c>
      <c r="BB5" s="1185" t="s">
        <v>1337</v>
      </c>
      <c r="BC5" s="1185" t="s">
        <v>1338</v>
      </c>
      <c r="BE5" s="1185">
        <v>2003</v>
      </c>
      <c r="BF5" s="1185" t="s">
        <v>1339</v>
      </c>
      <c r="BH5" s="1133" t="s">
        <v>1340</v>
      </c>
      <c r="BJ5" s="1133" t="s">
        <v>1340</v>
      </c>
      <c r="BL5" s="1133" t="s">
        <v>1340</v>
      </c>
      <c r="BN5" s="1133" t="s">
        <v>1341</v>
      </c>
      <c r="BQ5" s="1346">
        <v>4213775</v>
      </c>
      <c r="BR5" s="1133" t="s">
        <v>1239</v>
      </c>
      <c r="BS5" s="1494"/>
      <c r="BT5" s="1346">
        <v>64236871</v>
      </c>
      <c r="BU5" s="1133" t="s">
        <v>238</v>
      </c>
      <c r="BV5" s="1135"/>
      <c r="BW5" s="1760">
        <v>4213767</v>
      </c>
      <c r="BX5" s="1758" t="s">
        <v>1342</v>
      </c>
      <c r="BZ5" s="1346">
        <v>64237509</v>
      </c>
      <c r="CA5" s="1360" t="s">
        <v>1343</v>
      </c>
    </row>
    <row customHeight="1" ht="11.25">
      <c r="A6" s="1139" t="s">
        <v>1344</v>
      </c>
      <c r="B6" s="1140">
        <v>2004</v>
      </c>
      <c r="C6" s="1140">
        <v>2026</v>
      </c>
      <c r="E6" s="1141" t="s">
        <v>1345</v>
      </c>
      <c r="F6" s="1158"/>
      <c r="H6" s="1142" t="s">
        <v>1346</v>
      </c>
      <c r="I6" s="1141" t="s">
        <v>114</v>
      </c>
      <c r="J6" s="1132" t="s">
        <v>1347</v>
      </c>
      <c r="L6" s="1144">
        <f>SUM(kind_of_control_method_filter)</f>
        <v>0</v>
      </c>
      <c r="N6" s="1157" t="s">
        <v>1348</v>
      </c>
      <c r="O6" s="1141" t="s">
        <v>1349</v>
      </c>
      <c r="R6" s="208" t="s">
        <v>1234</v>
      </c>
      <c r="T6" s="1142" t="s">
        <v>1350</v>
      </c>
      <c r="U6" s="1144" t="s">
        <v>1330</v>
      </c>
      <c r="V6" s="1148">
        <v>5</v>
      </c>
      <c r="W6" s="1149"/>
      <c r="X6" s="1140" t="s">
        <v>182</v>
      </c>
      <c r="Y6" s="1140" t="s">
        <v>1351</v>
      </c>
      <c r="Z6" s="1156"/>
      <c r="AA6" s="1159"/>
      <c r="AH6" s="1141" t="s">
        <v>1352</v>
      </c>
      <c r="AK6" s="1141" t="s">
        <v>1353</v>
      </c>
      <c r="AM6" s="1141" t="s">
        <v>1354</v>
      </c>
      <c r="AP6" s="1152" t="s">
        <v>182</v>
      </c>
      <c r="AQ6" s="1153" t="s">
        <v>182</v>
      </c>
      <c r="AU6" s="1185" t="s">
        <v>1355</v>
      </c>
      <c r="AW6" s="1185" t="s">
        <v>1356</v>
      </c>
      <c r="AX6" s="1185" t="s">
        <v>1356</v>
      </c>
      <c r="BB6" s="1185" t="s">
        <v>1357</v>
      </c>
      <c r="BC6" s="1185" t="s">
        <v>1338</v>
      </c>
      <c r="BE6" s="1185">
        <v>2004</v>
      </c>
      <c r="BF6" s="1185" t="s">
        <v>1358</v>
      </c>
      <c r="BH6" s="1133" t="s">
        <v>1359</v>
      </c>
      <c r="BJ6" s="1133" t="s">
        <v>1360</v>
      </c>
      <c r="BL6" s="1133" t="s">
        <v>1360</v>
      </c>
      <c r="BN6" s="1133" t="s">
        <v>1361</v>
      </c>
      <c r="BQ6" s="1346">
        <v>4213784</v>
      </c>
      <c r="BR6" s="1360" t="s">
        <v>163</v>
      </c>
      <c r="BS6" s="1495"/>
      <c r="BT6" s="1346">
        <v>64236872</v>
      </c>
      <c r="BU6" s="1133" t="s">
        <v>243</v>
      </c>
      <c r="BV6" s="1135"/>
      <c r="BW6" s="1760">
        <v>4213768</v>
      </c>
      <c r="BX6" s="1758" t="s">
        <v>263</v>
      </c>
      <c r="BZ6" s="1346">
        <v>64237510</v>
      </c>
      <c r="CA6" s="1133" t="s">
        <v>1362</v>
      </c>
    </row>
    <row customHeight="1" ht="11.25">
      <c r="A7" s="1139" t="s">
        <v>1363</v>
      </c>
      <c r="B7" s="1140">
        <v>2005</v>
      </c>
      <c r="E7" s="1141" t="s">
        <v>1364</v>
      </c>
      <c r="F7" s="1158"/>
      <c r="H7" s="1142" t="s">
        <v>1365</v>
      </c>
      <c r="I7" s="1141" t="s">
        <v>95</v>
      </c>
      <c r="J7" s="1141" t="s">
        <v>1366</v>
      </c>
      <c r="N7" s="1161" t="s">
        <v>1367</v>
      </c>
      <c r="O7" s="1141" t="s">
        <v>1368</v>
      </c>
      <c r="U7" s="1144" t="s">
        <v>19</v>
      </c>
      <c r="V7" s="435" t="s">
        <v>95</v>
      </c>
      <c r="W7" s="1149"/>
      <c r="X7" s="1140" t="s">
        <v>189</v>
      </c>
      <c r="Y7" s="1140" t="s">
        <v>1329</v>
      </c>
      <c r="Z7" s="1156"/>
      <c r="AA7" s="1159"/>
      <c r="AH7" s="1141" t="s">
        <v>1369</v>
      </c>
      <c r="AK7" s="1141" t="s">
        <v>1370</v>
      </c>
      <c r="AM7" s="1141" t="s">
        <v>1371</v>
      </c>
      <c r="AP7" s="1152" t="s">
        <v>189</v>
      </c>
      <c r="AQ7" s="1153" t="s">
        <v>189</v>
      </c>
      <c r="AU7" s="1185" t="s">
        <v>1372</v>
      </c>
      <c r="AW7" s="1185" t="s">
        <v>1373</v>
      </c>
      <c r="AX7" s="1185" t="s">
        <v>1373</v>
      </c>
      <c r="AZ7" s="1132" t="s">
        <v>1374</v>
      </c>
      <c r="BB7" s="1185" t="s">
        <v>1375</v>
      </c>
      <c r="BC7" s="1185" t="s">
        <v>1338</v>
      </c>
      <c r="BE7" s="1185">
        <v>2005</v>
      </c>
      <c r="BF7" s="1185" t="s">
        <v>1376</v>
      </c>
      <c r="BH7" s="1133" t="s">
        <v>1377</v>
      </c>
      <c r="BJ7" s="1133" t="s">
        <v>1359</v>
      </c>
      <c r="BL7" s="1133" t="s">
        <v>1359</v>
      </c>
      <c r="BN7" s="1133" t="s">
        <v>1378</v>
      </c>
      <c r="BQ7" s="1346">
        <v>4213781</v>
      </c>
      <c r="BR7" s="1133" t="s">
        <v>1265</v>
      </c>
      <c r="BS7" s="1494"/>
      <c r="BT7" s="1346">
        <v>64236873</v>
      </c>
      <c r="BU7" s="1133" t="s">
        <v>248</v>
      </c>
      <c r="BV7" s="1135"/>
      <c r="BW7" s="1760">
        <v>4213769</v>
      </c>
      <c r="BX7" s="1758" t="s">
        <v>1379</v>
      </c>
      <c r="BZ7" s="1346">
        <v>64237511</v>
      </c>
      <c r="CA7" s="1133" t="s">
        <v>278</v>
      </c>
    </row>
    <row customHeight="1" ht="11.25">
      <c r="A8" s="1139" t="s">
        <v>1380</v>
      </c>
      <c r="B8" s="1140">
        <v>2006</v>
      </c>
      <c r="E8" s="1141" t="s">
        <v>1381</v>
      </c>
      <c r="F8" s="1158"/>
      <c r="H8" s="1142" t="s">
        <v>1382</v>
      </c>
      <c r="I8" s="1141" t="s">
        <v>96</v>
      </c>
      <c r="J8" s="1141" t="s">
        <v>1383</v>
      </c>
      <c r="N8" s="1228" t="s">
        <v>1384</v>
      </c>
      <c r="O8" s="1141" t="s">
        <v>1385</v>
      </c>
      <c r="V8" s="435" t="s">
        <v>96</v>
      </c>
      <c r="W8" s="1149"/>
      <c r="X8" s="1140" t="s">
        <v>195</v>
      </c>
      <c r="Y8" s="1140" t="s">
        <v>1329</v>
      </c>
      <c r="Z8" s="1156"/>
      <c r="AA8" s="1159"/>
      <c r="AK8" s="1141" t="s">
        <v>1386</v>
      </c>
      <c r="AP8" s="1152" t="s">
        <v>195</v>
      </c>
      <c r="AQ8" s="1153" t="s">
        <v>195</v>
      </c>
      <c r="AU8" s="1185" t="s">
        <v>1387</v>
      </c>
      <c r="AW8" s="1185" t="s">
        <v>1388</v>
      </c>
      <c r="AX8" s="1185" t="s">
        <v>1388</v>
      </c>
      <c r="AZ8" s="1185" t="s">
        <v>1389</v>
      </c>
      <c r="BB8" s="1185" t="s">
        <v>1390</v>
      </c>
      <c r="BC8" s="1185" t="s">
        <v>1338</v>
      </c>
      <c r="BE8" s="1185">
        <v>2006</v>
      </c>
      <c r="BF8" s="1185" t="s">
        <v>1391</v>
      </c>
      <c r="BH8" s="1133" t="s">
        <v>1392</v>
      </c>
      <c r="BJ8" s="1133" t="s">
        <v>1393</v>
      </c>
      <c r="BL8" s="1133" t="s">
        <v>1393</v>
      </c>
      <c r="BN8" s="1133" t="s">
        <v>1394</v>
      </c>
      <c r="BQ8" s="1346">
        <v>4213776</v>
      </c>
      <c r="BR8" s="1133" t="s">
        <v>175</v>
      </c>
      <c r="BS8" s="1494"/>
      <c r="BT8" s="1346">
        <v>64236874</v>
      </c>
      <c r="BU8" s="1360" t="s">
        <v>1395</v>
      </c>
      <c r="BV8" s="1135"/>
      <c r="BW8" s="1760">
        <v>4213770</v>
      </c>
      <c r="BX8" s="1761" t="s">
        <v>1396</v>
      </c>
      <c r="BZ8" s="1346">
        <v>64237512</v>
      </c>
      <c r="CA8" s="1133" t="s">
        <v>273</v>
      </c>
    </row>
    <row customHeight="1" ht="11.25">
      <c r="A9" s="1139" t="s">
        <v>1397</v>
      </c>
      <c r="B9" s="1140">
        <v>2007</v>
      </c>
      <c r="E9" s="1141" t="s">
        <v>1398</v>
      </c>
      <c r="F9" s="1158"/>
      <c r="G9" s="1132" t="s">
        <v>1399</v>
      </c>
      <c r="H9" s="1132" t="s">
        <v>1400</v>
      </c>
      <c r="I9" s="1141" t="s">
        <v>115</v>
      </c>
      <c r="O9" s="1141" t="s">
        <v>1401</v>
      </c>
      <c r="V9" s="435" t="s">
        <v>115</v>
      </c>
      <c r="W9" s="1149"/>
      <c r="X9" s="1140" t="s">
        <v>201</v>
      </c>
      <c r="Y9" s="1140" t="s">
        <v>1240</v>
      </c>
      <c r="Z9" s="1156">
        <v>1</v>
      </c>
      <c r="AA9" s="1159"/>
      <c r="AK9" s="1141" t="s">
        <v>1402</v>
      </c>
      <c r="AP9" s="1152" t="s">
        <v>1403</v>
      </c>
      <c r="AQ9" s="1153" t="s">
        <v>1403</v>
      </c>
      <c r="AW9" s="1185" t="s">
        <v>1404</v>
      </c>
      <c r="AX9" s="1185" t="s">
        <v>1404</v>
      </c>
      <c r="AZ9" s="1185" t="s">
        <v>1405</v>
      </c>
      <c r="BB9" s="1185" t="s">
        <v>1406</v>
      </c>
      <c r="BC9" s="1185" t="s">
        <v>1338</v>
      </c>
      <c r="BE9" s="1185">
        <v>2007</v>
      </c>
      <c r="BF9" s="1185" t="s">
        <v>1407</v>
      </c>
      <c r="BH9" s="1133" t="s">
        <v>1408</v>
      </c>
      <c r="BJ9" s="1133" t="s">
        <v>1409</v>
      </c>
      <c r="BL9" s="1133" t="s">
        <v>1409</v>
      </c>
      <c r="BN9" s="1133" t="s">
        <v>1410</v>
      </c>
      <c r="BQ9" s="1346">
        <v>4213777</v>
      </c>
      <c r="BR9" s="1133" t="s">
        <v>182</v>
      </c>
      <c r="BS9" s="1494"/>
      <c r="BT9" s="1346">
        <v>64236875</v>
      </c>
      <c r="BU9" s="1133" t="s">
        <v>253</v>
      </c>
      <c r="BV9" s="1135"/>
      <c r="BW9" s="1755"/>
      <c r="BX9" s="1755"/>
    </row>
    <row customHeight="1" ht="11.25">
      <c r="A10" s="1139" t="s">
        <v>1411</v>
      </c>
      <c r="B10" s="1140">
        <v>2008</v>
      </c>
      <c r="E10" s="1141" t="s">
        <v>1412</v>
      </c>
      <c r="F10" s="1158"/>
      <c r="G10" s="1141" t="s">
        <v>1413</v>
      </c>
      <c r="H10" s="1141" t="s">
        <v>1414</v>
      </c>
      <c r="I10" s="1141" t="s">
        <v>151</v>
      </c>
      <c r="J10" s="1132" t="s">
        <v>1415</v>
      </c>
      <c r="K10" s="1132" t="s">
        <v>1416</v>
      </c>
      <c r="O10" s="1141" t="s">
        <v>1417</v>
      </c>
      <c r="V10" s="436" t="s">
        <v>151</v>
      </c>
      <c r="W10" s="1162"/>
      <c r="X10" s="1162" t="s">
        <v>1418</v>
      </c>
      <c r="Y10" s="1163" t="s">
        <v>1419</v>
      </c>
      <c r="Z10" s="1156"/>
      <c r="AP10" s="1152" t="s">
        <v>1418</v>
      </c>
      <c r="AQ10" s="1153" t="s">
        <v>1418</v>
      </c>
      <c r="AW10" s="1185" t="s">
        <v>1420</v>
      </c>
      <c r="AX10" s="1185" t="s">
        <v>1420</v>
      </c>
      <c r="AZ10" s="1185" t="s">
        <v>1421</v>
      </c>
      <c r="BB10" s="1185" t="s">
        <v>1422</v>
      </c>
      <c r="BC10" s="1185" t="s">
        <v>1338</v>
      </c>
      <c r="BE10" s="1185">
        <v>2008</v>
      </c>
      <c r="BF10" s="1185" t="s">
        <v>1423</v>
      </c>
      <c r="BH10" s="1133" t="s">
        <v>1424</v>
      </c>
      <c r="BJ10" s="1133" t="s">
        <v>1425</v>
      </c>
      <c r="BL10" s="1133" t="s">
        <v>1425</v>
      </c>
      <c r="BN10" s="1133" t="s">
        <v>1426</v>
      </c>
      <c r="BQ10" s="1346">
        <v>4213778</v>
      </c>
      <c r="BR10" s="1133" t="s">
        <v>189</v>
      </c>
      <c r="BS10" s="1494"/>
      <c r="BT10" s="1346">
        <v>64236876</v>
      </c>
      <c r="BU10" s="1133" t="s">
        <v>233</v>
      </c>
      <c r="BV10" s="1135"/>
      <c r="BW10" s="1755"/>
      <c r="BX10" s="1755"/>
    </row>
    <row customHeight="1" ht="11.25">
      <c r="A11" s="1139" t="s">
        <v>1427</v>
      </c>
      <c r="B11" s="1140">
        <v>2009</v>
      </c>
      <c r="E11" s="1141" t="s">
        <v>1428</v>
      </c>
      <c r="F11" s="1158"/>
      <c r="G11" s="1141" t="s">
        <v>1429</v>
      </c>
      <c r="H11" s="1141" t="s">
        <v>1430</v>
      </c>
      <c r="I11" s="1141" t="s">
        <v>152</v>
      </c>
      <c r="J11" s="1142" t="s">
        <v>1431</v>
      </c>
      <c r="K11" s="1164" t="s">
        <v>1432</v>
      </c>
      <c r="O11" s="1142" t="s">
        <v>1433</v>
      </c>
      <c r="V11" s="435" t="s">
        <v>152</v>
      </c>
      <c r="W11" s="340"/>
      <c r="X11" s="1149" t="s">
        <v>1403</v>
      </c>
      <c r="Y11" s="1140" t="s">
        <v>1434</v>
      </c>
      <c r="Z11" s="1156"/>
      <c r="AP11" s="1152" t="s">
        <v>201</v>
      </c>
      <c r="AQ11" s="1154" t="s">
        <v>201</v>
      </c>
      <c r="AW11" s="1185" t="s">
        <v>1435</v>
      </c>
      <c r="AX11" s="1185" t="s">
        <v>1435</v>
      </c>
      <c r="AZ11" s="1185" t="s">
        <v>1436</v>
      </c>
      <c r="BB11" s="1185" t="s">
        <v>1437</v>
      </c>
      <c r="BC11" s="1185" t="s">
        <v>1338</v>
      </c>
      <c r="BE11" s="1185">
        <v>2009</v>
      </c>
      <c r="BF11" s="1185" t="s">
        <v>1438</v>
      </c>
      <c r="BH11" s="1133" t="s">
        <v>1439</v>
      </c>
      <c r="BJ11" s="1133" t="s">
        <v>1408</v>
      </c>
      <c r="BL11" s="1133" t="s">
        <v>1408</v>
      </c>
      <c r="BN11" s="1133" t="s">
        <v>1440</v>
      </c>
      <c r="BQ11" s="1346">
        <v>4213780</v>
      </c>
      <c r="BR11" s="1133" t="s">
        <v>195</v>
      </c>
      <c r="BS11" s="1494"/>
      <c r="BW11" s="1755"/>
      <c r="BX11" s="1755"/>
    </row>
    <row customHeight="1" ht="11.25">
      <c r="A12" s="1139" t="s">
        <v>1441</v>
      </c>
      <c r="B12" s="1140">
        <v>2010</v>
      </c>
      <c r="E12" s="1141" t="s">
        <v>1442</v>
      </c>
      <c r="F12" s="1158"/>
      <c r="G12" s="1141" t="s">
        <v>1430</v>
      </c>
      <c r="I12" s="1141" t="s">
        <v>153</v>
      </c>
      <c r="J12" s="1142" t="s">
        <v>1443</v>
      </c>
      <c r="K12" s="1164" t="s">
        <v>1444</v>
      </c>
      <c r="O12" s="1142" t="s">
        <v>1234</v>
      </c>
      <c r="V12" s="435" t="s">
        <v>153</v>
      </c>
      <c r="W12" s="1154"/>
      <c r="X12" s="1149" t="s">
        <v>1445</v>
      </c>
      <c r="Y12" s="1140" t="s">
        <v>1240</v>
      </c>
      <c r="AP12" s="1152"/>
      <c r="AW12" s="1185" t="s">
        <v>152</v>
      </c>
      <c r="AX12" s="1185" t="s">
        <v>152</v>
      </c>
      <c r="AZ12" s="1185" t="s">
        <v>1446</v>
      </c>
      <c r="BB12" s="1185" t="s">
        <v>1447</v>
      </c>
      <c r="BC12" s="1185" t="s">
        <v>1338</v>
      </c>
      <c r="BE12" s="1185">
        <v>2010</v>
      </c>
      <c r="BF12" s="1185" t="s">
        <v>1448</v>
      </c>
      <c r="BH12" s="1133" t="s">
        <v>1449</v>
      </c>
      <c r="BJ12" s="1133" t="s">
        <v>1450</v>
      </c>
      <c r="BL12" s="1133" t="s">
        <v>1450</v>
      </c>
      <c r="BN12" s="1133" t="s">
        <v>1451</v>
      </c>
      <c r="BQ12" s="1346">
        <v>4213779</v>
      </c>
      <c r="BR12" s="1133" t="s">
        <v>1403</v>
      </c>
      <c r="BS12" s="1494"/>
      <c r="BT12" s="1135"/>
      <c r="BU12" s="1135"/>
      <c r="BV12" s="1135"/>
      <c r="BW12" s="1755"/>
      <c r="BX12" s="1755"/>
    </row>
    <row customHeight="1" ht="11.25">
      <c r="A13" s="1139" t="s">
        <v>1452</v>
      </c>
      <c r="B13" s="1140">
        <v>2011</v>
      </c>
      <c r="E13" s="1141" t="s">
        <v>1453</v>
      </c>
      <c r="F13" s="1158"/>
      <c r="I13" s="1141" t="s">
        <v>154</v>
      </c>
      <c r="K13" s="1164" t="s">
        <v>1402</v>
      </c>
      <c r="V13" s="435" t="s">
        <v>154</v>
      </c>
      <c r="W13" s="1154"/>
      <c r="X13" s="1154"/>
      <c r="Y13" s="1154"/>
      <c r="AW13" s="1185" t="s">
        <v>153</v>
      </c>
      <c r="AX13" s="1185" t="s">
        <v>153</v>
      </c>
      <c r="BB13" s="1185" t="s">
        <v>1454</v>
      </c>
      <c r="BC13" s="1185" t="s">
        <v>1455</v>
      </c>
      <c r="BE13" s="1185">
        <v>2011</v>
      </c>
      <c r="BF13" s="1185" t="s">
        <v>1456</v>
      </c>
      <c r="BH13" s="1133" t="s">
        <v>1457</v>
      </c>
      <c r="BJ13" s="1133" t="s">
        <v>1439</v>
      </c>
      <c r="BL13" s="1133" t="s">
        <v>1439</v>
      </c>
      <c r="BN13" s="1133" t="s">
        <v>1458</v>
      </c>
      <c r="BQ13" s="1346">
        <v>4213783</v>
      </c>
      <c r="BR13" s="1133" t="s">
        <v>1418</v>
      </c>
      <c r="BS13" s="1494"/>
      <c r="BT13" s="1135"/>
      <c r="BU13" s="1135"/>
      <c r="BV13" s="1135"/>
      <c r="BW13" s="1759"/>
      <c r="BX13" s="1755"/>
    </row>
    <row customHeight="1" ht="11.25">
      <c r="A14" s="1139" t="s">
        <v>1459</v>
      </c>
      <c r="B14" s="1140">
        <v>2012</v>
      </c>
      <c r="I14" s="1141" t="s">
        <v>155</v>
      </c>
      <c r="J14" s="1132" t="s">
        <v>1460</v>
      </c>
      <c r="N14" s="1132" t="s">
        <v>1461</v>
      </c>
      <c r="V14" s="1148">
        <v>13</v>
      </c>
      <c r="W14" s="1149"/>
      <c r="X14" s="1149" t="s">
        <v>163</v>
      </c>
      <c r="Y14" s="1140" t="s">
        <v>1240</v>
      </c>
      <c r="AW14" s="1185" t="s">
        <v>154</v>
      </c>
      <c r="AX14" s="1185" t="s">
        <v>154</v>
      </c>
      <c r="AZ14" s="1132" t="s">
        <v>1462</v>
      </c>
      <c r="BB14" s="1185" t="s">
        <v>1463</v>
      </c>
      <c r="BC14" s="1185" t="s">
        <v>1455</v>
      </c>
      <c r="BE14" s="1185">
        <v>2012</v>
      </c>
      <c r="BH14" s="1133" t="s">
        <v>1378</v>
      </c>
      <c r="BJ14" s="1282" t="s">
        <v>1464</v>
      </c>
      <c r="BL14" s="1282" t="s">
        <v>1464</v>
      </c>
      <c r="BN14" s="1133" t="s">
        <v>1465</v>
      </c>
      <c r="BQ14" s="1346">
        <v>4213782</v>
      </c>
      <c r="BR14" s="1133" t="s">
        <v>201</v>
      </c>
      <c r="BS14" s="1494"/>
      <c r="BT14" s="1135"/>
      <c r="BU14" s="1135"/>
      <c r="BV14" s="1135"/>
      <c r="BW14" s="1759"/>
      <c r="BX14" s="1755"/>
    </row>
    <row customHeight="1" ht="19.5">
      <c r="A15" s="1139" t="s">
        <v>1466</v>
      </c>
      <c r="B15" s="1140">
        <v>2013</v>
      </c>
      <c r="E15" s="1763" t="s">
        <v>1467</v>
      </c>
      <c r="G15" s="1132" t="s">
        <v>1468</v>
      </c>
      <c r="H15" s="1132" t="s">
        <v>1469</v>
      </c>
      <c r="I15" s="1143" t="s">
        <v>156</v>
      </c>
      <c r="J15" s="1154" t="s">
        <v>596</v>
      </c>
      <c r="N15" s="1223" t="s">
        <v>1470</v>
      </c>
      <c r="X15" s="1152"/>
      <c r="AW15" s="1185" t="s">
        <v>155</v>
      </c>
      <c r="AX15" s="1185" t="s">
        <v>155</v>
      </c>
      <c r="AZ15" s="1185" t="s">
        <v>1389</v>
      </c>
      <c r="BB15" s="1185" t="s">
        <v>1471</v>
      </c>
      <c r="BC15" s="1185" t="s">
        <v>1455</v>
      </c>
      <c r="BE15" s="1185">
        <v>2013</v>
      </c>
      <c r="BH15" s="1133" t="s">
        <v>1394</v>
      </c>
      <c r="BJ15" s="1282" t="s">
        <v>1472</v>
      </c>
      <c r="BL15" s="1282" t="s">
        <v>1472</v>
      </c>
      <c r="BN15" s="1133" t="s">
        <v>1473</v>
      </c>
      <c r="BR15" s="1135"/>
      <c r="BS15" s="1496"/>
      <c r="BT15" s="1135"/>
      <c r="BU15" s="1135"/>
      <c r="BV15" s="1135"/>
      <c r="BW15" s="1759"/>
      <c r="BX15" s="1755"/>
    </row>
    <row customHeight="1" ht="21">
      <c r="A16" s="1935" t="s">
        <v>1474</v>
      </c>
      <c r="B16" s="1140">
        <v>2014</v>
      </c>
      <c r="E16" s="1764" t="s">
        <v>1475</v>
      </c>
      <c r="G16" s="1141" t="s">
        <v>1476</v>
      </c>
      <c r="H16" s="1141" t="s">
        <v>1477</v>
      </c>
      <c r="I16" s="1143" t="s">
        <v>1478</v>
      </c>
      <c r="J16" s="1154" t="s">
        <v>569</v>
      </c>
      <c r="N16" s="1223" t="s">
        <v>1479</v>
      </c>
      <c r="AW16" s="1185" t="s">
        <v>156</v>
      </c>
      <c r="AX16" s="1185" t="s">
        <v>156</v>
      </c>
      <c r="AZ16" s="1185" t="s">
        <v>1405</v>
      </c>
      <c r="BB16" s="1185" t="s">
        <v>1480</v>
      </c>
      <c r="BC16" s="1185" t="s">
        <v>1455</v>
      </c>
      <c r="BE16" s="1185">
        <v>2014</v>
      </c>
      <c r="BH16" s="1133" t="s">
        <v>1410</v>
      </c>
      <c r="BJ16" s="1282" t="s">
        <v>1481</v>
      </c>
      <c r="BL16" s="1282" t="s">
        <v>1481</v>
      </c>
      <c r="BN16" s="1133" t="s">
        <v>1482</v>
      </c>
      <c r="BR16" s="1135"/>
      <c r="BS16" s="1496"/>
      <c r="BT16" s="1135"/>
      <c r="BU16" s="1135"/>
      <c r="BV16" s="1135"/>
      <c r="BW16" s="1759"/>
      <c r="BX16" s="1755"/>
    </row>
    <row customHeight="1" ht="21">
      <c r="A17" s="1139" t="s">
        <v>1483</v>
      </c>
      <c r="B17" s="1140">
        <v>2015</v>
      </c>
      <c r="G17" s="1141" t="s">
        <v>1430</v>
      </c>
      <c r="H17" s="1141" t="s">
        <v>1430</v>
      </c>
      <c r="I17" s="1141" t="s">
        <v>1484</v>
      </c>
      <c r="N17" s="1223" t="s">
        <v>1485</v>
      </c>
      <c r="X17" s="1152"/>
      <c r="AW17" s="1185" t="s">
        <v>1478</v>
      </c>
      <c r="AX17" s="1185" t="s">
        <v>1478</v>
      </c>
      <c r="AZ17" s="1185" t="s">
        <v>1486</v>
      </c>
      <c r="BB17" s="1185" t="s">
        <v>1487</v>
      </c>
      <c r="BC17" s="1185" t="s">
        <v>1338</v>
      </c>
      <c r="BE17" s="1185">
        <v>2015</v>
      </c>
      <c r="BH17" s="1133" t="s">
        <v>1426</v>
      </c>
      <c r="BJ17" s="1282" t="s">
        <v>1488</v>
      </c>
      <c r="BL17" s="1282" t="s">
        <v>1488</v>
      </c>
      <c r="BN17" s="1133" t="s">
        <v>1489</v>
      </c>
      <c r="BR17" s="1132" t="s">
        <v>1282</v>
      </c>
      <c r="BS17" s="1493"/>
      <c r="BU17" s="1132" t="s">
        <v>1490</v>
      </c>
      <c r="BV17" s="1135"/>
      <c r="BW17" s="1755"/>
      <c r="BX17" s="1757" t="s">
        <v>1491</v>
      </c>
      <c r="CA17" s="1132" t="s">
        <v>1492</v>
      </c>
      <c r="CD17" s="1132" t="s">
        <v>1493</v>
      </c>
    </row>
    <row customHeight="1" ht="21">
      <c r="A18" s="1139" t="s">
        <v>1494</v>
      </c>
      <c r="B18" s="1140">
        <v>2016</v>
      </c>
      <c r="E18" s="2070" t="s">
        <v>1495</v>
      </c>
      <c r="I18" s="1141" t="s">
        <v>1496</v>
      </c>
      <c r="N18" s="1223" t="s">
        <v>1497</v>
      </c>
      <c r="X18" s="1152"/>
      <c r="AW18" s="1185" t="s">
        <v>1484</v>
      </c>
      <c r="AX18" s="1185" t="s">
        <v>1484</v>
      </c>
      <c r="BB18" s="1185" t="s">
        <v>1498</v>
      </c>
      <c r="BC18" s="1185" t="s">
        <v>1338</v>
      </c>
      <c r="BE18" s="1185">
        <v>2016</v>
      </c>
      <c r="BH18" s="1133" t="s">
        <v>1440</v>
      </c>
      <c r="BJ18" s="1282" t="s">
        <v>1499</v>
      </c>
      <c r="BL18" s="1282" t="s">
        <v>1499</v>
      </c>
      <c r="BN18" s="1133" t="s">
        <v>1500</v>
      </c>
      <c r="BQ18" s="1497" t="s">
        <v>1311</v>
      </c>
      <c r="BR18" s="1224" t="s">
        <v>1312</v>
      </c>
      <c r="BS18" s="339"/>
      <c r="BT18" s="1497" t="s">
        <v>1501</v>
      </c>
      <c r="BU18" s="1224" t="s">
        <v>1502</v>
      </c>
      <c r="BV18" s="1135"/>
      <c r="BW18" s="1762" t="s">
        <v>1503</v>
      </c>
      <c r="BX18" s="1756" t="s">
        <v>1504</v>
      </c>
      <c r="BZ18" s="1497" t="s">
        <v>1505</v>
      </c>
      <c r="CA18" s="1224" t="s">
        <v>1506</v>
      </c>
      <c r="CC18" s="1497" t="s">
        <v>1507</v>
      </c>
      <c r="CD18" s="1224" t="s">
        <v>1508</v>
      </c>
    </row>
    <row customHeight="1" ht="21">
      <c r="A19" s="1935" t="s">
        <v>1509</v>
      </c>
      <c r="B19" s="1140">
        <v>2017</v>
      </c>
      <c r="E19" s="1139" t="s">
        <v>174</v>
      </c>
      <c r="I19" s="1141" t="s">
        <v>1510</v>
      </c>
      <c r="N19" s="1223" t="s">
        <v>1511</v>
      </c>
      <c r="X19" s="1152"/>
      <c r="AW19" s="1185" t="s">
        <v>1496</v>
      </c>
      <c r="AX19" s="1185" t="s">
        <v>1496</v>
      </c>
      <c r="AZ19" s="1132" t="s">
        <v>1512</v>
      </c>
      <c r="BB19" s="1185" t="s">
        <v>1513</v>
      </c>
      <c r="BC19" s="1185" t="s">
        <v>1338</v>
      </c>
      <c r="BE19" s="1185">
        <v>2017</v>
      </c>
      <c r="BH19" s="1133" t="s">
        <v>1514</v>
      </c>
      <c r="BJ19" s="1282" t="s">
        <v>1515</v>
      </c>
      <c r="BL19" s="1282" t="s">
        <v>1515</v>
      </c>
      <c r="BQ19" s="1346">
        <v>4190064</v>
      </c>
      <c r="BR19" s="1133" t="s">
        <v>1516</v>
      </c>
      <c r="BS19" s="1494"/>
      <c r="BT19" s="1346">
        <v>4189671</v>
      </c>
      <c r="BU19" s="1133" t="s">
        <v>1517</v>
      </c>
      <c r="BV19" s="1135"/>
      <c r="BW19" s="1760">
        <v>4189706</v>
      </c>
      <c r="BX19" s="1758" t="s">
        <v>1518</v>
      </c>
      <c r="BZ19" s="1346">
        <v>4189714</v>
      </c>
      <c r="CA19" s="1133" t="s">
        <v>1519</v>
      </c>
      <c r="CC19" s="1346">
        <v>4189708</v>
      </c>
      <c r="CD19" s="1133" t="s">
        <v>1520</v>
      </c>
    </row>
    <row customHeight="1" ht="21">
      <c r="A20" s="1139" t="s">
        <v>1521</v>
      </c>
      <c r="B20" s="1140">
        <v>2018</v>
      </c>
      <c r="E20" s="1139" t="s">
        <v>163</v>
      </c>
      <c r="I20" s="1141" t="s">
        <v>1522</v>
      </c>
      <c r="N20" s="1223" t="s">
        <v>1523</v>
      </c>
      <c r="AW20" s="1185" t="s">
        <v>1510</v>
      </c>
      <c r="AX20" s="1185" t="s">
        <v>1510</v>
      </c>
      <c r="AZ20" s="1185" t="s">
        <v>1524</v>
      </c>
      <c r="BB20" s="1185" t="s">
        <v>1525</v>
      </c>
      <c r="BC20" s="1185" t="s">
        <v>1455</v>
      </c>
      <c r="BE20" s="1185">
        <v>2018</v>
      </c>
      <c r="BH20" s="1133" t="s">
        <v>1451</v>
      </c>
      <c r="BJ20" s="1133" t="s">
        <v>1378</v>
      </c>
      <c r="BL20" s="1133" t="s">
        <v>1378</v>
      </c>
      <c r="BQ20" s="1346">
        <v>4190065</v>
      </c>
      <c r="BR20" s="1133" t="s">
        <v>1526</v>
      </c>
      <c r="BS20" s="1494"/>
      <c r="BT20" s="1346">
        <v>4189672</v>
      </c>
      <c r="BU20" s="1133" t="s">
        <v>1527</v>
      </c>
      <c r="BV20" s="1135"/>
      <c r="BW20" s="1760">
        <v>4189705</v>
      </c>
      <c r="BX20" s="1758" t="s">
        <v>1528</v>
      </c>
      <c r="BZ20" s="1346">
        <v>4189713</v>
      </c>
      <c r="CA20" s="1133" t="s">
        <v>1528</v>
      </c>
      <c r="CC20" s="1346">
        <v>4189709</v>
      </c>
      <c r="CD20" s="1133" t="s">
        <v>1529</v>
      </c>
    </row>
    <row customHeight="1" ht="21">
      <c r="A21" s="1139" t="s">
        <v>1530</v>
      </c>
      <c r="B21" s="1140">
        <v>2019</v>
      </c>
      <c r="I21" s="1141" t="s">
        <v>1531</v>
      </c>
      <c r="N21" s="1223" t="s">
        <v>1532</v>
      </c>
      <c r="AW21" s="1185" t="s">
        <v>1522</v>
      </c>
      <c r="AX21" s="1185" t="s">
        <v>1522</v>
      </c>
      <c r="AZ21" s="1185" t="s">
        <v>1533</v>
      </c>
      <c r="BB21" s="1185" t="s">
        <v>1534</v>
      </c>
      <c r="BC21" s="1185" t="s">
        <v>1338</v>
      </c>
      <c r="BE21" s="1185">
        <v>2019</v>
      </c>
      <c r="BH21" s="1133" t="s">
        <v>1458</v>
      </c>
      <c r="BJ21" s="1133" t="s">
        <v>1394</v>
      </c>
      <c r="BL21" s="1133" t="s">
        <v>1394</v>
      </c>
      <c r="BQ21" s="1346">
        <v>4190066</v>
      </c>
      <c r="BR21" s="1133" t="s">
        <v>1535</v>
      </c>
      <c r="BS21" s="1494"/>
      <c r="BT21" s="1346">
        <v>4189673</v>
      </c>
      <c r="BU21" s="1133" t="s">
        <v>1536</v>
      </c>
      <c r="BV21" s="1135"/>
      <c r="BW21" s="1760">
        <v>4189707</v>
      </c>
      <c r="BX21" s="1758" t="s">
        <v>1537</v>
      </c>
      <c r="BZ21" s="1346">
        <v>4189712</v>
      </c>
      <c r="CA21" s="1133" t="s">
        <v>1538</v>
      </c>
      <c r="CC21" s="1346">
        <v>4189710</v>
      </c>
      <c r="CD21" s="1133" t="s">
        <v>1539</v>
      </c>
    </row>
    <row customHeight="1" ht="21">
      <c r="A22" s="1139" t="s">
        <v>1540</v>
      </c>
      <c r="B22" s="1140">
        <v>2020</v>
      </c>
      <c r="N22" s="1223" t="s">
        <v>1541</v>
      </c>
      <c r="AW22" s="1185" t="s">
        <v>1531</v>
      </c>
      <c r="AX22" s="1185" t="s">
        <v>1531</v>
      </c>
      <c r="AZ22" s="1185" t="s">
        <v>1542</v>
      </c>
      <c r="BB22" s="1185" t="s">
        <v>1543</v>
      </c>
      <c r="BC22" s="1185" t="s">
        <v>1338</v>
      </c>
      <c r="BE22" s="1185">
        <v>2020</v>
      </c>
      <c r="BH22" s="1133" t="s">
        <v>1465</v>
      </c>
      <c r="BJ22" s="1133" t="s">
        <v>1410</v>
      </c>
      <c r="BL22" s="1133" t="s">
        <v>1410</v>
      </c>
      <c r="BQ22" s="1346">
        <v>4190067</v>
      </c>
      <c r="BR22" s="1133" t="s">
        <v>1544</v>
      </c>
      <c r="BS22" s="1494"/>
      <c r="BT22" s="1346">
        <v>4189674</v>
      </c>
      <c r="BU22" s="1133" t="s">
        <v>1545</v>
      </c>
      <c r="BV22" s="1135"/>
      <c r="BW22" s="1135"/>
      <c r="CC22" s="1346">
        <v>4189711</v>
      </c>
      <c r="CD22" s="1133" t="s">
        <v>302</v>
      </c>
    </row>
    <row customHeight="1" ht="21">
      <c r="A23" s="1139" t="s">
        <v>1546</v>
      </c>
      <c r="B23" s="1140">
        <v>2021</v>
      </c>
      <c r="AW23" s="1185" t="s">
        <v>1547</v>
      </c>
      <c r="AX23" s="1185" t="s">
        <v>1547</v>
      </c>
      <c r="AZ23" s="1185" t="s">
        <v>1548</v>
      </c>
      <c r="BB23" s="1185" t="s">
        <v>1549</v>
      </c>
      <c r="BC23" s="1185" t="s">
        <v>1250</v>
      </c>
      <c r="BE23" s="1185">
        <v>2021</v>
      </c>
      <c r="BH23" s="1133" t="s">
        <v>1473</v>
      </c>
      <c r="BJ23" s="1133" t="s">
        <v>1426</v>
      </c>
      <c r="BL23" s="1133" t="s">
        <v>1426</v>
      </c>
      <c r="BQ23" s="1346">
        <v>4190068</v>
      </c>
      <c r="BR23" s="1133" t="s">
        <v>1550</v>
      </c>
      <c r="BS23" s="1494"/>
      <c r="BT23" s="1346">
        <v>4189675</v>
      </c>
      <c r="BU23" s="1133" t="s">
        <v>1551</v>
      </c>
      <c r="BV23" s="1135"/>
      <c r="BW23" s="1135"/>
      <c r="CC23" s="1346">
        <v>5110778</v>
      </c>
      <c r="CD23" s="1133" t="s">
        <v>1552</v>
      </c>
    </row>
    <row customHeight="1" ht="21">
      <c r="A24" s="1139" t="s">
        <v>1553</v>
      </c>
      <c r="B24" s="1140">
        <v>2022</v>
      </c>
      <c r="AW24" s="1185" t="s">
        <v>102</v>
      </c>
      <c r="AX24" s="1185" t="s">
        <v>102</v>
      </c>
      <c r="AZ24" s="1185" t="s">
        <v>1554</v>
      </c>
      <c r="BB24" s="1185" t="s">
        <v>1555</v>
      </c>
      <c r="BC24" s="1185" t="s">
        <v>1556</v>
      </c>
      <c r="BE24" s="1185">
        <v>2022</v>
      </c>
      <c r="BH24" s="1133" t="s">
        <v>1482</v>
      </c>
      <c r="BJ24" s="1133" t="s">
        <v>1440</v>
      </c>
      <c r="BL24" s="1133" t="s">
        <v>1440</v>
      </c>
      <c r="BQ24" s="1346">
        <v>4190069</v>
      </c>
      <c r="BR24" s="1133" t="s">
        <v>1557</v>
      </c>
      <c r="BS24" s="1494"/>
      <c r="BT24" s="1346">
        <v>4189676</v>
      </c>
      <c r="BU24" s="1133" t="s">
        <v>1558</v>
      </c>
      <c r="BV24" s="1135"/>
      <c r="BW24" s="1135"/>
      <c r="CC24" s="1346">
        <v>25575374</v>
      </c>
      <c r="CD24" s="1133" t="s">
        <v>1559</v>
      </c>
    </row>
    <row customHeight="1" ht="11.25">
      <c r="A25" s="1139" t="s">
        <v>1560</v>
      </c>
      <c r="B25" s="1140">
        <v>2023</v>
      </c>
      <c r="AW25" s="1185" t="s">
        <v>1561</v>
      </c>
      <c r="AX25" s="1185" t="s">
        <v>1561</v>
      </c>
      <c r="AZ25" s="1185" t="s">
        <v>1562</v>
      </c>
      <c r="BB25" s="1185" t="s">
        <v>1563</v>
      </c>
      <c r="BC25" s="1185" t="s">
        <v>1556</v>
      </c>
      <c r="BE25" s="1185">
        <v>2023</v>
      </c>
      <c r="BH25" s="1133" t="s">
        <v>1489</v>
      </c>
      <c r="BJ25" s="1133" t="s">
        <v>1514</v>
      </c>
      <c r="BL25" s="1133" t="s">
        <v>1514</v>
      </c>
      <c r="BQ25" s="1346">
        <v>4190070</v>
      </c>
      <c r="BR25" s="1133" t="s">
        <v>1564</v>
      </c>
      <c r="BS25" s="1494"/>
      <c r="BT25" s="1346">
        <v>4189677</v>
      </c>
      <c r="BU25" s="1133" t="s">
        <v>1565</v>
      </c>
      <c r="BV25" s="1135"/>
      <c r="BW25" s="1135"/>
    </row>
    <row customHeight="1" ht="11.25">
      <c r="A26" s="1139" t="s">
        <v>1566</v>
      </c>
      <c r="B26" s="1140">
        <v>2024</v>
      </c>
      <c r="J26" s="1796" t="s">
        <v>1567</v>
      </c>
      <c r="AX26" s="1185" t="s">
        <v>1568</v>
      </c>
      <c r="AZ26" s="1185" t="s">
        <v>1433</v>
      </c>
      <c r="BB26" s="1185" t="s">
        <v>1569</v>
      </c>
      <c r="BC26" s="1185" t="s">
        <v>1556</v>
      </c>
      <c r="BE26" s="1185">
        <v>2024</v>
      </c>
      <c r="BH26" s="1133" t="s">
        <v>1500</v>
      </c>
      <c r="BJ26" s="1133" t="s">
        <v>1451</v>
      </c>
      <c r="BL26" s="1133" t="s">
        <v>1451</v>
      </c>
      <c r="BQ26" s="1346">
        <v>4190071</v>
      </c>
      <c r="BR26" s="1133" t="s">
        <v>1570</v>
      </c>
      <c r="BS26" s="1494"/>
      <c r="BV26" s="1135"/>
      <c r="BW26" s="1135"/>
    </row>
    <row customHeight="1" ht="11.25">
      <c r="A27" s="1139" t="s">
        <v>1571</v>
      </c>
      <c r="B27" s="1140">
        <v>2025</v>
      </c>
      <c r="J27" s="241" t="s">
        <v>454</v>
      </c>
      <c r="AX27" s="1185" t="s">
        <v>1572</v>
      </c>
      <c r="BB27" s="1185" t="s">
        <v>1573</v>
      </c>
      <c r="BC27" s="1185" t="s">
        <v>1556</v>
      </c>
      <c r="BE27" s="1185">
        <v>2025</v>
      </c>
      <c r="BH27" s="1135" t="s">
        <v>28</v>
      </c>
      <c r="BJ27" s="1133" t="s">
        <v>1458</v>
      </c>
      <c r="BL27" s="1133" t="s">
        <v>1458</v>
      </c>
      <c r="BN27" s="1135" t="s">
        <v>28</v>
      </c>
      <c r="BQ27" s="1346">
        <v>4190072</v>
      </c>
      <c r="BR27" s="1133" t="s">
        <v>1574</v>
      </c>
      <c r="BS27" s="1494"/>
      <c r="BV27" s="1135"/>
      <c r="BW27" s="1135"/>
    </row>
    <row customHeight="1" ht="11.25">
      <c r="A28" s="1139" t="s">
        <v>1575</v>
      </c>
      <c r="D28" s="1166"/>
      <c r="E28" s="1167"/>
      <c r="F28" s="1167"/>
      <c r="H28" s="1168" t="s">
        <v>1576</v>
      </c>
      <c r="AX28" s="1185" t="s">
        <v>1577</v>
      </c>
      <c r="AZ28" s="1132" t="s">
        <v>1578</v>
      </c>
      <c r="BB28" s="1185" t="s">
        <v>1579</v>
      </c>
      <c r="BC28" s="1185" t="s">
        <v>1580</v>
      </c>
      <c r="BE28" s="1185">
        <v>2026</v>
      </c>
      <c r="BH28" s="1135" t="s">
        <v>28</v>
      </c>
      <c r="BJ28" s="1133" t="s">
        <v>1465</v>
      </c>
      <c r="BL28" s="1133" t="s">
        <v>1465</v>
      </c>
      <c r="BN28" s="1135" t="s">
        <v>28</v>
      </c>
      <c r="BQ28" s="1346">
        <v>4190073</v>
      </c>
      <c r="BR28" s="1133" t="s">
        <v>1581</v>
      </c>
      <c r="BS28" s="1494"/>
      <c r="BV28" s="1135"/>
      <c r="BW28" s="1135"/>
    </row>
    <row customHeight="1" ht="11.25">
      <c r="A29" s="1139" t="s">
        <v>1582</v>
      </c>
      <c r="D29" s="1169" t="s">
        <v>1583</v>
      </c>
      <c r="E29" s="1170" t="str">
        <f>IF(TEMPLATE_GROUP="","",INDEX(StartDateList,MATCH(TEMPLATE_GROUP,CodeTemplateList,0),1))</f>
        <v>01.01.2024</v>
      </c>
      <c r="F29" s="1170" t="str">
        <f>IF(TEMPLATE_GROUP="","",INDEX(EndDateList,MATCH(TEMPLATE_GROUP,CodeTemplateList,0),1))</f>
        <v>31.12.2028</v>
      </c>
      <c r="H29" s="1171" t="s">
        <v>1584</v>
      </c>
      <c r="AX29" s="1185" t="s">
        <v>1585</v>
      </c>
      <c r="AZ29" s="1185" t="s">
        <v>1235</v>
      </c>
      <c r="BB29" s="1185" t="s">
        <v>1433</v>
      </c>
      <c r="BC29" s="1156"/>
      <c r="BE29" s="1185">
        <v>2027</v>
      </c>
      <c r="BJ29" s="1133" t="s">
        <v>1473</v>
      </c>
      <c r="BL29" s="1133" t="s">
        <v>1473</v>
      </c>
    </row>
    <row customHeight="1" ht="11.25">
      <c r="A30" s="1139" t="s">
        <v>1586</v>
      </c>
      <c r="D30" s="1172"/>
      <c r="E30" s="1173"/>
      <c r="F30" s="1173"/>
      <c r="AX30" s="1185" t="s">
        <v>1587</v>
      </c>
      <c r="AZ30" s="1185" t="s">
        <v>1261</v>
      </c>
      <c r="BE30" s="1185">
        <v>2028</v>
      </c>
      <c r="BJ30" s="1133" t="s">
        <v>1588</v>
      </c>
      <c r="BL30" s="1133" t="s">
        <v>1588</v>
      </c>
    </row>
    <row customHeight="1" ht="12.75">
      <c r="A31" s="1139" t="s">
        <v>1589</v>
      </c>
      <c r="D31" s="1166"/>
      <c r="E31" s="1167"/>
      <c r="F31" s="1167"/>
      <c r="H31" s="1174"/>
      <c r="AX31" s="1185" t="s">
        <v>1590</v>
      </c>
      <c r="AZ31" s="1185" t="s">
        <v>459</v>
      </c>
      <c r="BE31" s="1185">
        <v>2029</v>
      </c>
      <c r="BJ31" s="1133" t="s">
        <v>1591</v>
      </c>
      <c r="BL31" s="1133" t="s">
        <v>1591</v>
      </c>
    </row>
    <row customHeight="1" ht="11.25">
      <c r="A32" s="1139" t="s">
        <v>1592</v>
      </c>
      <c r="D32" s="1169" t="s">
        <v>1593</v>
      </c>
      <c r="E32" s="1170" t="str">
        <f>IF(TEMPLATE_GROUP="","",INDEX(StartDateList,MATCH(TEMPLATE_GROUP,CodeTemplateList,0),1))</f>
        <v>01.01.2024</v>
      </c>
      <c r="F32" s="1170" t="str">
        <f>IF(TEMPLATE_GROUP="","",INDEX(EndDateList,MATCH(TEMPLATE_GROUP,CodeTemplateList,0),1))</f>
        <v>31.12.2028</v>
      </c>
      <c r="H32" s="1175" t="s">
        <v>1594</v>
      </c>
      <c r="O32" s="1139" t="s">
        <v>458</v>
      </c>
      <c r="AX32" s="1185" t="s">
        <v>1595</v>
      </c>
      <c r="AZ32" s="1185" t="s">
        <v>457</v>
      </c>
      <c r="BE32" s="1185">
        <v>2030</v>
      </c>
      <c r="BJ32" s="1133" t="s">
        <v>1482</v>
      </c>
      <c r="BL32" s="1133" t="s">
        <v>1482</v>
      </c>
    </row>
    <row customHeight="1" ht="11.25">
      <c r="A33" s="1139" t="s">
        <v>1596</v>
      </c>
      <c r="O33" s="1139" t="s">
        <v>1259</v>
      </c>
      <c r="AX33" s="1185" t="s">
        <v>1597</v>
      </c>
      <c r="AZ33" s="1185" t="s">
        <v>1234</v>
      </c>
      <c r="BE33" s="1185">
        <v>2031</v>
      </c>
      <c r="BJ33" s="1133" t="s">
        <v>1489</v>
      </c>
      <c r="BL33" s="1133" t="s">
        <v>1489</v>
      </c>
    </row>
    <row customHeight="1" ht="11.25">
      <c r="A34" s="1139" t="s">
        <v>1598</v>
      </c>
      <c r="O34" s="1139" t="s">
        <v>1293</v>
      </c>
      <c r="AX34" s="1185" t="s">
        <v>1599</v>
      </c>
      <c r="BE34" s="1185">
        <v>2032</v>
      </c>
      <c r="BJ34" s="1133" t="s">
        <v>1500</v>
      </c>
      <c r="BL34" s="1133" t="s">
        <v>1500</v>
      </c>
    </row>
    <row customHeight="1" ht="11.25">
      <c r="A35" s="1139" t="s">
        <v>1600</v>
      </c>
      <c r="O35" s="1139" t="s">
        <v>1325</v>
      </c>
      <c r="AX35" s="1185" t="s">
        <v>1601</v>
      </c>
      <c r="AZ35" s="1132" t="s">
        <v>1602</v>
      </c>
      <c r="BE35" s="1185">
        <v>2033</v>
      </c>
      <c r="BL35" s="1133" t="s">
        <v>1603</v>
      </c>
    </row>
    <row customHeight="1" ht="11.25">
      <c r="A36" s="1935" t="s">
        <v>1604</v>
      </c>
      <c r="D36" s="1176" t="s">
        <v>1605</v>
      </c>
      <c r="E36" s="1177" t="s">
        <v>820</v>
      </c>
      <c r="F36" s="1178" t="str">
        <f>INDEX(E37:E41,MATCH(TEMPLATE_SPHERE,F37:F41,0))</f>
        <v>теплоснабжения</v>
      </c>
      <c r="G36" s="1178" t="str">
        <f>INDEX(G37:G41,MATCH(TEMPLATE_SPHERE,F37:F41,0))</f>
        <v>теплоснабжение</v>
      </c>
      <c r="O36" s="1139" t="s">
        <v>1349</v>
      </c>
      <c r="AX36" s="1185" t="s">
        <v>1606</v>
      </c>
      <c r="AZ36" s="1185" t="s">
        <v>1234</v>
      </c>
      <c r="BE36" s="1185">
        <v>2034</v>
      </c>
      <c r="BL36" s="1133" t="s">
        <v>1607</v>
      </c>
    </row>
    <row customHeight="1" ht="11.25">
      <c r="A37" s="1139" t="s">
        <v>1608</v>
      </c>
      <c r="E37" s="472" t="s">
        <v>1609</v>
      </c>
      <c r="F37" s="1179" t="s">
        <v>820</v>
      </c>
      <c r="G37" s="472" t="s">
        <v>1610</v>
      </c>
      <c r="O37" s="1139" t="s">
        <v>1368</v>
      </c>
      <c r="AX37" s="1185" t="s">
        <v>1611</v>
      </c>
      <c r="AZ37" s="1185" t="s">
        <v>1260</v>
      </c>
      <c r="BE37" s="1185">
        <v>2035</v>
      </c>
    </row>
    <row customHeight="1" ht="11.25">
      <c r="A38" s="1139" t="s">
        <v>1612</v>
      </c>
      <c r="E38" s="472" t="s">
        <v>1613</v>
      </c>
      <c r="F38" s="1180" t="s">
        <v>866</v>
      </c>
      <c r="G38" s="472" t="s">
        <v>1614</v>
      </c>
      <c r="O38" s="1139" t="s">
        <v>1385</v>
      </c>
      <c r="AX38" s="1185" t="s">
        <v>1615</v>
      </c>
      <c r="AZ38" s="1185" t="s">
        <v>456</v>
      </c>
      <c r="BE38" s="1185">
        <v>2036</v>
      </c>
      <c r="BH38" s="1132" t="s">
        <v>1616</v>
      </c>
      <c r="BJ38" s="1132" t="s">
        <v>1617</v>
      </c>
      <c r="BL38" s="1132" t="s">
        <v>1618</v>
      </c>
      <c r="BN38" s="1132" t="s">
        <v>1619</v>
      </c>
    </row>
    <row customHeight="1" ht="11.25">
      <c r="A39" s="1139" t="s">
        <v>1620</v>
      </c>
      <c r="E39" s="472" t="s">
        <v>1621</v>
      </c>
      <c r="F39" s="1180" t="s">
        <v>919</v>
      </c>
      <c r="G39" s="472" t="s">
        <v>1622</v>
      </c>
      <c r="O39" s="1139" t="s">
        <v>1401</v>
      </c>
      <c r="AX39" s="1185" t="s">
        <v>1623</v>
      </c>
      <c r="AZ39" s="1185" t="s">
        <v>1326</v>
      </c>
      <c r="BE39" s="1185">
        <v>2037</v>
      </c>
      <c r="BH39" s="1133" t="s">
        <v>1624</v>
      </c>
      <c r="BJ39" s="1282" t="s">
        <v>1624</v>
      </c>
      <c r="BL39" s="1282" t="s">
        <v>1624</v>
      </c>
      <c r="BN39" s="1133" t="s">
        <v>1625</v>
      </c>
    </row>
    <row customHeight="1" ht="11.25">
      <c r="A40" s="1139" t="s">
        <v>16</v>
      </c>
      <c r="E40" s="472" t="s">
        <v>1626</v>
      </c>
      <c r="F40" s="1180" t="s">
        <v>906</v>
      </c>
      <c r="G40" s="472" t="s">
        <v>1627</v>
      </c>
      <c r="O40" s="1139" t="s">
        <v>1417</v>
      </c>
      <c r="AX40" s="1185" t="s">
        <v>1628</v>
      </c>
      <c r="BE40" s="1185">
        <v>2038</v>
      </c>
      <c r="BH40" s="1133" t="s">
        <v>1629</v>
      </c>
      <c r="BJ40" s="1282" t="s">
        <v>1039</v>
      </c>
      <c r="BL40" s="1282" t="s">
        <v>1039</v>
      </c>
      <c r="BN40" s="1133" t="s">
        <v>1073</v>
      </c>
    </row>
    <row customHeight="1" ht="11.25">
      <c r="A41" s="1139" t="s">
        <v>1630</v>
      </c>
      <c r="E41" s="472" t="s">
        <v>1631</v>
      </c>
      <c r="F41" s="1180" t="s">
        <v>1632</v>
      </c>
      <c r="G41" s="472" t="s">
        <v>1631</v>
      </c>
      <c r="O41" s="1139" t="s">
        <v>1433</v>
      </c>
      <c r="AX41" s="1185" t="s">
        <v>1633</v>
      </c>
      <c r="AZ41" s="1132" t="s">
        <v>1634</v>
      </c>
      <c r="BE41" s="1185">
        <v>2039</v>
      </c>
      <c r="BH41" s="1133" t="s">
        <v>1635</v>
      </c>
      <c r="BJ41" s="1282" t="s">
        <v>1035</v>
      </c>
      <c r="BL41" s="1282" t="s">
        <v>1035</v>
      </c>
      <c r="BN41" s="1133" t="s">
        <v>1060</v>
      </c>
    </row>
    <row customHeight="1" ht="11.25">
      <c r="A42" s="1139" t="s">
        <v>1636</v>
      </c>
      <c r="AX42" s="1185" t="s">
        <v>1637</v>
      </c>
      <c r="AZ42" s="1185" t="s">
        <v>458</v>
      </c>
      <c r="BE42" s="1185">
        <v>2040</v>
      </c>
      <c r="BH42" s="1133" t="s">
        <v>1057</v>
      </c>
      <c r="BJ42" s="1282" t="s">
        <v>1037</v>
      </c>
      <c r="BL42" s="1282" t="s">
        <v>1037</v>
      </c>
      <c r="BN42" s="1133" t="s">
        <v>1638</v>
      </c>
    </row>
    <row customHeight="1" ht="11.25">
      <c r="A43" s="1139" t="s">
        <v>1639</v>
      </c>
      <c r="AX43" s="1185" t="s">
        <v>1640</v>
      </c>
      <c r="AZ43" s="1185" t="s">
        <v>1259</v>
      </c>
      <c r="BE43" s="1185">
        <v>2041</v>
      </c>
      <c r="BH43" s="1133" t="s">
        <v>1641</v>
      </c>
      <c r="BJ43" s="1282" t="s">
        <v>1635</v>
      </c>
      <c r="BL43" s="1282" t="s">
        <v>1635</v>
      </c>
      <c r="BN43" s="1133" t="s">
        <v>1642</v>
      </c>
    </row>
    <row customHeight="1" ht="11.25">
      <c r="A44" s="1139" t="s">
        <v>1643</v>
      </c>
      <c r="G44" s="1159">
        <f>YEAR(TODAY())</f>
        <v>2026</v>
      </c>
      <c r="I44" s="864" t="s">
        <v>1644</v>
      </c>
      <c r="J44" s="1154" t="s">
        <v>1645</v>
      </c>
      <c r="K44" s="1154" t="s">
        <v>1646</v>
      </c>
      <c r="AX44" s="1185" t="s">
        <v>1647</v>
      </c>
      <c r="AZ44" s="1185" t="s">
        <v>1293</v>
      </c>
      <c r="BE44" s="1185">
        <v>2042</v>
      </c>
      <c r="BH44" s="1133" t="s">
        <v>1648</v>
      </c>
      <c r="BJ44" s="1282" t="s">
        <v>1057</v>
      </c>
      <c r="BL44" s="1282" t="s">
        <v>1057</v>
      </c>
      <c r="BN44" s="1133" t="s">
        <v>1649</v>
      </c>
    </row>
    <row customHeight="1" ht="11.25">
      <c r="A45" s="1139" t="s">
        <v>1650</v>
      </c>
      <c r="D45" s="1176" t="s">
        <v>1651</v>
      </c>
      <c r="E45" s="1177" t="s">
        <v>1652</v>
      </c>
      <c r="F45" s="862" t="s">
        <v>1653</v>
      </c>
      <c r="G45" s="861" t="s">
        <v>1654</v>
      </c>
      <c r="H45" s="864" t="s">
        <v>1655</v>
      </c>
      <c r="I45" s="1806">
        <f>INDEX(PeriodIsEmptyList,MATCH(TEMPLATE_GROUP,CodeTemplateList,0),1)</f>
        <v>0</v>
      </c>
      <c r="J45" s="1809" t="str">
        <f>INDEX(NameTemplatesInTitleList,MATCH(TEMPLATE_GROUP,CodeTemplateList,0),1)</f>
        <v>Показатели, подлежащие раскрытию в сфере теплоснабжения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1656</v>
      </c>
      <c r="AZ45" s="1185" t="s">
        <v>1325</v>
      </c>
      <c r="BE45" s="1185">
        <v>2043</v>
      </c>
      <c r="BH45" s="1133" t="s">
        <v>1657</v>
      </c>
      <c r="BJ45" s="1282" t="s">
        <v>1051</v>
      </c>
      <c r="BL45" s="1282" t="s">
        <v>1051</v>
      </c>
      <c r="BN45" s="1133" t="s">
        <v>1658</v>
      </c>
    </row>
    <row customHeight="1" ht="11.25">
      <c r="A46" s="1139" t="s">
        <v>1659</v>
      </c>
      <c r="E46" s="472" t="s">
        <v>26</v>
      </c>
      <c r="F46" s="1179" t="s">
        <v>1660</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1661</v>
      </c>
      <c r="AZ46" s="1185" t="s">
        <v>1349</v>
      </c>
      <c r="BE46" s="1185">
        <v>2044</v>
      </c>
      <c r="BH46" s="1133" t="s">
        <v>1060</v>
      </c>
      <c r="BJ46" s="1282" t="s">
        <v>1041</v>
      </c>
      <c r="BL46" s="1282" t="s">
        <v>1041</v>
      </c>
      <c r="BN46" s="1133" t="s">
        <v>1662</v>
      </c>
    </row>
    <row customHeight="1" ht="11.25">
      <c r="A47" s="1139" t="s">
        <v>1663</v>
      </c>
      <c r="E47" s="472" t="s">
        <v>33</v>
      </c>
      <c r="F47" s="1180" t="s">
        <v>1664</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1665</v>
      </c>
      <c r="AZ47" s="1185" t="s">
        <v>1368</v>
      </c>
      <c r="BE47" s="1185">
        <v>2045</v>
      </c>
      <c r="BH47" s="1133" t="s">
        <v>1638</v>
      </c>
      <c r="BJ47" s="1282" t="s">
        <v>1043</v>
      </c>
      <c r="BL47" s="1282" t="s">
        <v>1043</v>
      </c>
      <c r="BN47" s="1133" t="s">
        <v>1666</v>
      </c>
    </row>
    <row customHeight="1" ht="11.25">
      <c r="A48" s="1139" t="s">
        <v>1667</v>
      </c>
      <c r="E48" s="472" t="s">
        <v>1668</v>
      </c>
      <c r="F48" s="1180" t="s">
        <v>1669</v>
      </c>
      <c r="G48" s="1181" t="str">
        <f>_xlfn.IFERROR(IF(f_year="","01.01."&amp;CURRENT_YEAR,"01.01."&amp;f_year),"01.01."&amp;CURRENT_YEAR)</f>
        <v>01.01.2026</v>
      </c>
      <c r="H48" s="1181" t="str">
        <f>_xlfn.IFERROR(IF(f_year="","31.12."&amp;CURRENT_YEAR,"31.12."&amp;f_year),"31.12."&amp;CURRENT_YEAR)</f>
        <v>31.12.2026</v>
      </c>
      <c r="I48" s="1807">
        <f>IF(f_year="",TRUE,FALSE)</f>
        <v>1</v>
      </c>
      <c r="J48" s="1810" t="s">
        <v>1670</v>
      </c>
      <c r="K48" s="1811"/>
      <c r="AX48" s="1185" t="s">
        <v>1671</v>
      </c>
      <c r="AZ48" s="1185" t="s">
        <v>1385</v>
      </c>
      <c r="BE48" s="1185">
        <v>2046</v>
      </c>
      <c r="BH48" s="1133" t="s">
        <v>1642</v>
      </c>
      <c r="BJ48" s="1282" t="s">
        <v>1045</v>
      </c>
      <c r="BL48" s="1282" t="s">
        <v>1045</v>
      </c>
      <c r="BN48" s="1133" t="s">
        <v>1672</v>
      </c>
    </row>
    <row customHeight="1" ht="11.25">
      <c r="A49" s="1139" t="s">
        <v>1673</v>
      </c>
      <c r="E49" s="472" t="s">
        <v>1674</v>
      </c>
      <c r="F49" s="1180" t="s">
        <v>1675</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1676</v>
      </c>
      <c r="AZ49" s="1185" t="s">
        <v>1401</v>
      </c>
      <c r="BE49" s="1185">
        <v>2047</v>
      </c>
      <c r="BH49" s="1133" t="s">
        <v>1061</v>
      </c>
      <c r="BJ49" s="1282" t="s">
        <v>1047</v>
      </c>
      <c r="BL49" s="1282" t="s">
        <v>1047</v>
      </c>
    </row>
    <row customHeight="1" ht="11.25">
      <c r="A50" s="1139" t="s">
        <v>1677</v>
      </c>
      <c r="E50" s="472" t="s">
        <v>1678</v>
      </c>
      <c r="F50" s="1180" t="s">
        <v>1031</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1679</v>
      </c>
      <c r="AZ50" s="1185" t="s">
        <v>1417</v>
      </c>
      <c r="BE50" s="1185">
        <v>2048</v>
      </c>
      <c r="BH50" s="1133" t="s">
        <v>1649</v>
      </c>
      <c r="BJ50" s="1282" t="s">
        <v>1049</v>
      </c>
      <c r="BL50" s="1282" t="s">
        <v>1049</v>
      </c>
    </row>
    <row customHeight="1" ht="11.25">
      <c r="A51" s="1139" t="s">
        <v>1680</v>
      </c>
      <c r="E51" s="472" t="s">
        <v>1681</v>
      </c>
      <c r="F51" s="1180" t="s">
        <v>1682</v>
      </c>
      <c r="G51" s="1181" t="str">
        <f>_xlfn.IFERROR(IF(TITLE_PERIOD_START="","01.01."&amp;CURRENT_YEAR,"01.01."&amp;YEAR(TITLE_PERIOD_START)),"01.01."&amp;CURRENT_YEAR)</f>
        <v>01.01.2024</v>
      </c>
      <c r="H51" s="1181" t="str">
        <f>_xlfn.IFERROR(IF(TITLE_PERIOD_END="","31.12."&amp;CURRENT_YEAR,"31.12."&amp;YEAR(TITLE_PERIOD_END)),"31.12."&amp;CURRENT_YEAR)</f>
        <v>31.12.2028</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1683</v>
      </c>
      <c r="AZ51" s="1185" t="s">
        <v>1433</v>
      </c>
      <c r="BE51" s="1185">
        <v>2049</v>
      </c>
      <c r="BH51" s="1133" t="s">
        <v>1658</v>
      </c>
      <c r="BJ51" s="1282" t="s">
        <v>1684</v>
      </c>
      <c r="BL51" s="1282" t="s">
        <v>1684</v>
      </c>
    </row>
    <row customHeight="1" ht="11.25">
      <c r="A52" s="1139" t="s">
        <v>1685</v>
      </c>
      <c r="E52" s="472" t="s">
        <v>1686</v>
      </c>
      <c r="F52" s="1180" t="s">
        <v>1652</v>
      </c>
      <c r="G52" s="1181" t="str">
        <f>_xlfn.IFERROR(IF(TITLE_PERIOD_START="","01.01."&amp;CURRENT_YEAR,"01.01."&amp;YEAR(TITLE_PERIOD_START)),"01.01."&amp;CURRENT_YEAR)</f>
        <v>01.01.2024</v>
      </c>
      <c r="H52" s="1181" t="str">
        <f>_xlfn.IFERROR(IF(TITLE_PERIOD_END="","31.12."&amp;CURRENT_YEAR,"31.12."&amp;YEAR(TITLE_PERIOD_END)),"31.12."&amp;CURRENT_YEAR)</f>
        <v>31.12.2028</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1687</v>
      </c>
      <c r="AZ52" s="1185" t="s">
        <v>1234</v>
      </c>
      <c r="BE52" s="1185">
        <v>2050</v>
      </c>
      <c r="BH52" s="1133" t="s">
        <v>1662</v>
      </c>
      <c r="BJ52" s="1282" t="s">
        <v>1060</v>
      </c>
      <c r="BL52" s="1282" t="s">
        <v>1060</v>
      </c>
    </row>
    <row customHeight="1" ht="11.25">
      <c r="A53" s="1139" t="s">
        <v>1688</v>
      </c>
      <c r="E53" s="472" t="s">
        <v>1689</v>
      </c>
      <c r="F53" s="1180" t="s">
        <v>1689</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1690</v>
      </c>
      <c r="K53" s="1811"/>
      <c r="AX53" s="1185" t="s">
        <v>1691</v>
      </c>
      <c r="BE53" s="1185">
        <v>2051</v>
      </c>
      <c r="BH53" s="1133" t="s">
        <v>1666</v>
      </c>
      <c r="BJ53" s="1282" t="s">
        <v>1638</v>
      </c>
      <c r="BL53" s="1282" t="s">
        <v>1638</v>
      </c>
    </row>
    <row customHeight="1" ht="11.25">
      <c r="A54" s="1139" t="s">
        <v>1692</v>
      </c>
      <c r="AX54" s="1185" t="s">
        <v>1693</v>
      </c>
      <c r="AZ54" s="1132" t="s">
        <v>1694</v>
      </c>
      <c r="BE54" s="1185">
        <v>2052</v>
      </c>
      <c r="BH54" s="1133" t="s">
        <v>1672</v>
      </c>
      <c r="BJ54" s="1282" t="s">
        <v>1642</v>
      </c>
      <c r="BL54" s="1282" t="s">
        <v>1642</v>
      </c>
    </row>
    <row customHeight="1" ht="11.25">
      <c r="A55" s="1139" t="s">
        <v>1695</v>
      </c>
      <c r="AX55" s="1185" t="s">
        <v>1696</v>
      </c>
      <c r="AZ55" s="1185" t="s">
        <v>1236</v>
      </c>
      <c r="BE55" s="1185">
        <v>2053</v>
      </c>
      <c r="BH55" s="1135" t="s">
        <v>28</v>
      </c>
      <c r="BJ55" s="1282" t="s">
        <v>1061</v>
      </c>
      <c r="BL55" s="1282" t="s">
        <v>1061</v>
      </c>
    </row>
    <row customHeight="1" ht="11.25">
      <c r="A56" s="1139" t="s">
        <v>1697</v>
      </c>
      <c r="D56" s="1183" t="s">
        <v>1698</v>
      </c>
      <c r="E56" s="1160" t="s">
        <v>114</v>
      </c>
      <c r="F56" s="1139" t="s">
        <v>1699</v>
      </c>
      <c r="AX56" s="1185" t="s">
        <v>1700</v>
      </c>
      <c r="AZ56" s="1185" t="s">
        <v>1262</v>
      </c>
      <c r="BE56" s="1185">
        <v>2054</v>
      </c>
      <c r="BH56" s="1135" t="s">
        <v>28</v>
      </c>
      <c r="BJ56" s="1282" t="s">
        <v>1649</v>
      </c>
      <c r="BL56" s="1282" t="s">
        <v>1649</v>
      </c>
    </row>
    <row customHeight="1" ht="11.25">
      <c r="A57" s="1139" t="s">
        <v>1701</v>
      </c>
      <c r="D57" s="1183" t="s">
        <v>1702</v>
      </c>
      <c r="E57" s="1160" t="s">
        <v>114</v>
      </c>
      <c r="F57" s="1139" t="s">
        <v>1699</v>
      </c>
      <c r="AX57" s="1185" t="s">
        <v>1703</v>
      </c>
      <c r="AZ57" s="1185" t="s">
        <v>1295</v>
      </c>
      <c r="BE57" s="1185">
        <v>2055</v>
      </c>
      <c r="BJ57" s="1282" t="s">
        <v>1658</v>
      </c>
      <c r="BL57" s="1282" t="s">
        <v>1658</v>
      </c>
    </row>
    <row customHeight="1" ht="11.25">
      <c r="A58" s="1139" t="s">
        <v>1704</v>
      </c>
      <c r="D58" s="1183" t="s">
        <v>1705</v>
      </c>
      <c r="E58" s="1160" t="s">
        <v>114</v>
      </c>
      <c r="F58" s="1139" t="s">
        <v>1699</v>
      </c>
      <c r="AX58" s="1185" t="s">
        <v>1706</v>
      </c>
      <c r="BE58" s="1185">
        <v>2056</v>
      </c>
      <c r="BJ58" s="1282" t="s">
        <v>1662</v>
      </c>
      <c r="BL58" s="1282" t="s">
        <v>1662</v>
      </c>
    </row>
    <row customHeight="1" ht="11.25">
      <c r="A59" s="1139" t="s">
        <v>1707</v>
      </c>
      <c r="D59" s="1183" t="s">
        <v>134</v>
      </c>
      <c r="E59" s="1160" t="s">
        <v>1595</v>
      </c>
      <c r="F59" s="1139" t="s">
        <v>1708</v>
      </c>
      <c r="AX59" s="1185" t="s">
        <v>47</v>
      </c>
      <c r="AZ59" s="1132" t="s">
        <v>1709</v>
      </c>
      <c r="BE59" s="1185">
        <v>2057</v>
      </c>
      <c r="BJ59" s="1282" t="s">
        <v>1666</v>
      </c>
      <c r="BL59" s="1282" t="s">
        <v>1666</v>
      </c>
    </row>
    <row customHeight="1" ht="11.25">
      <c r="A60" s="1139" t="s">
        <v>1710</v>
      </c>
      <c r="D60" s="1183" t="s">
        <v>1711</v>
      </c>
      <c r="E60" s="1160" t="s">
        <v>1595</v>
      </c>
      <c r="F60" s="1139" t="s">
        <v>1708</v>
      </c>
      <c r="AX60" s="1185" t="s">
        <v>1712</v>
      </c>
      <c r="AZ60" s="1185" t="s">
        <v>1237</v>
      </c>
      <c r="BE60" s="1185">
        <v>2058</v>
      </c>
      <c r="BJ60" s="1282" t="s">
        <v>1672</v>
      </c>
      <c r="BL60" s="1282" t="s">
        <v>1672</v>
      </c>
    </row>
    <row customHeight="1" ht="11.25">
      <c r="A61" s="1139" t="s">
        <v>1713</v>
      </c>
      <c r="D61" s="1183" t="s">
        <v>1714</v>
      </c>
      <c r="E61" s="1160" t="s">
        <v>1595</v>
      </c>
      <c r="F61" s="1139" t="s">
        <v>1708</v>
      </c>
      <c r="AX61" s="1185" t="s">
        <v>1715</v>
      </c>
      <c r="AZ61" s="1185" t="s">
        <v>1263</v>
      </c>
      <c r="BE61" s="1185">
        <v>2059</v>
      </c>
      <c r="BL61" s="1282" t="s">
        <v>1053</v>
      </c>
    </row>
    <row customHeight="1" ht="11.25">
      <c r="A62" s="1139" t="s">
        <v>1716</v>
      </c>
      <c r="D62" s="1183" t="s">
        <v>133</v>
      </c>
      <c r="E62" s="1160">
        <v>30</v>
      </c>
      <c r="F62" s="1139" t="s">
        <v>1708</v>
      </c>
      <c r="AZ62" s="1185" t="s">
        <v>1296</v>
      </c>
      <c r="BE62" s="1185">
        <v>2060</v>
      </c>
      <c r="BL62" s="1282" t="s">
        <v>1055</v>
      </c>
    </row>
    <row customHeight="1" ht="11.25">
      <c r="A63" s="1139" t="s">
        <v>1717</v>
      </c>
      <c r="D63" s="1183" t="s">
        <v>1718</v>
      </c>
      <c r="E63" s="1160">
        <v>30</v>
      </c>
      <c r="F63" s="1139" t="s">
        <v>1708</v>
      </c>
      <c r="AZ63" s="1185" t="s">
        <v>1327</v>
      </c>
      <c r="BE63" s="1185">
        <v>2061</v>
      </c>
    </row>
    <row customHeight="1" ht="11.25">
      <c r="A64" s="1139" t="s">
        <v>1719</v>
      </c>
      <c r="D64" s="1183" t="s">
        <v>1720</v>
      </c>
      <c r="E64" s="1160">
        <v>30</v>
      </c>
      <c r="F64" s="1139" t="s">
        <v>1708</v>
      </c>
      <c r="AZ64" s="1185" t="s">
        <v>1350</v>
      </c>
      <c r="BE64" s="1185">
        <v>2062</v>
      </c>
    </row>
    <row customHeight="1" ht="11.25">
      <c r="A65" s="1139" t="s">
        <v>1721</v>
      </c>
      <c r="D65" s="1139"/>
      <c r="BE65" s="1185">
        <v>2063</v>
      </c>
    </row>
    <row customHeight="1" ht="11.25">
      <c r="A66" s="1139" t="s">
        <v>1722</v>
      </c>
      <c r="AZ66" s="1132" t="s">
        <v>1723</v>
      </c>
      <c r="BE66" s="1185">
        <v>2064</v>
      </c>
    </row>
    <row customHeight="1" ht="11.25">
      <c r="A67" s="1139" t="s">
        <v>1724</v>
      </c>
      <c r="AZ67" s="1185" t="s">
        <v>1238</v>
      </c>
      <c r="BE67" s="1185">
        <v>2065</v>
      </c>
    </row>
    <row customHeight="1" ht="11.25">
      <c r="A68" s="1139" t="s">
        <v>1725</v>
      </c>
      <c r="AZ68" s="1185" t="s">
        <v>1264</v>
      </c>
      <c r="BE68" s="1185">
        <v>2066</v>
      </c>
      <c r="BH68" s="1132" t="s">
        <v>1726</v>
      </c>
      <c r="BJ68" s="1132" t="s">
        <v>1727</v>
      </c>
      <c r="BL68" s="1132" t="s">
        <v>1728</v>
      </c>
      <c r="BN68" s="1132" t="s">
        <v>1729</v>
      </c>
    </row>
    <row customHeight="1" ht="11.25">
      <c r="A69" s="1139" t="s">
        <v>1730</v>
      </c>
      <c r="AZ69" s="1185" t="s">
        <v>1297</v>
      </c>
      <c r="BE69" s="1185">
        <v>2067</v>
      </c>
      <c r="BH69" s="1133" t="s">
        <v>1731</v>
      </c>
      <c r="BI69" s="1182" t="s">
        <v>112</v>
      </c>
      <c r="BJ69" s="1133" t="s">
        <v>1732</v>
      </c>
      <c r="BK69" s="1182" t="s">
        <v>112</v>
      </c>
      <c r="BL69" s="1133" t="s">
        <v>1733</v>
      </c>
      <c r="BM69" s="1135" t="s">
        <v>112</v>
      </c>
      <c r="BN69" s="1133" t="s">
        <v>1734</v>
      </c>
    </row>
    <row customHeight="1" ht="11.25">
      <c r="A70" s="1139" t="s">
        <v>1735</v>
      </c>
      <c r="AZ70" s="1185" t="s">
        <v>1328</v>
      </c>
      <c r="BE70" s="1185">
        <v>2068</v>
      </c>
      <c r="BH70" s="1133" t="s">
        <v>1736</v>
      </c>
      <c r="BJ70" s="1133" t="s">
        <v>1737</v>
      </c>
      <c r="BL70" s="1133" t="s">
        <v>1738</v>
      </c>
      <c r="BN70" s="1133" t="s">
        <v>1739</v>
      </c>
    </row>
    <row customHeight="1" ht="11.25">
      <c r="A71" s="1139" t="s">
        <v>1740</v>
      </c>
      <c r="AZ71" s="1185" t="s">
        <v>1330</v>
      </c>
      <c r="BE71" s="1185">
        <v>2069</v>
      </c>
      <c r="BH71" s="1133" t="s">
        <v>1741</v>
      </c>
      <c r="BI71" s="1182" t="s">
        <v>93</v>
      </c>
      <c r="BJ71" s="1133" t="s">
        <v>1742</v>
      </c>
      <c r="BK71" s="1182" t="s">
        <v>93</v>
      </c>
      <c r="BL71" s="1133" t="s">
        <v>1743</v>
      </c>
      <c r="BM71" s="1135" t="s">
        <v>93</v>
      </c>
      <c r="BN71" s="1133" t="s">
        <v>1744</v>
      </c>
    </row>
    <row customHeight="1" ht="11.25">
      <c r="A72" s="1139" t="s">
        <v>1745</v>
      </c>
      <c r="AZ72" s="1185" t="s">
        <v>19</v>
      </c>
      <c r="BE72" s="1185">
        <v>2070</v>
      </c>
      <c r="BH72" s="1133" t="s">
        <v>1746</v>
      </c>
      <c r="BJ72" s="1133" t="s">
        <v>1746</v>
      </c>
      <c r="BL72" s="1133" t="s">
        <v>1746</v>
      </c>
      <c r="BN72" s="1133" t="s">
        <v>1747</v>
      </c>
    </row>
    <row customHeight="1" ht="11.25">
      <c r="A73" s="1139" t="s">
        <v>1748</v>
      </c>
      <c r="BH73" s="1133" t="s">
        <v>1749</v>
      </c>
      <c r="BI73" s="1182" t="s">
        <v>114</v>
      </c>
      <c r="BJ73" s="1133" t="s">
        <v>1750</v>
      </c>
      <c r="BK73" s="1182" t="s">
        <v>114</v>
      </c>
      <c r="BL73" s="1133" t="s">
        <v>1751</v>
      </c>
      <c r="BM73" s="1135" t="s">
        <v>114</v>
      </c>
      <c r="BN73" s="1133" t="s">
        <v>1752</v>
      </c>
    </row>
    <row customHeight="1" ht="11.25">
      <c r="A74" s="1139" t="s">
        <v>1753</v>
      </c>
      <c r="BH74" s="1133" t="s">
        <v>1754</v>
      </c>
      <c r="BJ74" s="1133" t="s">
        <v>1755</v>
      </c>
      <c r="BL74" s="1133" t="s">
        <v>1756</v>
      </c>
      <c r="BN74" s="1133" t="s">
        <v>1757</v>
      </c>
    </row>
    <row customHeight="1" ht="11.25">
      <c r="A75" s="1139" t="s">
        <v>1758</v>
      </c>
      <c r="AZ75" s="1132" t="s">
        <v>1759</v>
      </c>
      <c r="BH75" s="1133" t="s">
        <v>1760</v>
      </c>
      <c r="BJ75" s="1133" t="s">
        <v>1760</v>
      </c>
      <c r="BL75" s="1133" t="s">
        <v>1760</v>
      </c>
    </row>
    <row customHeight="1" ht="11.25">
      <c r="A76" s="1139" t="s">
        <v>1761</v>
      </c>
      <c r="AZ76" s="1185" t="s">
        <v>1247</v>
      </c>
      <c r="BH76" s="1133" t="s">
        <v>1762</v>
      </c>
      <c r="BJ76" s="1133" t="s">
        <v>1763</v>
      </c>
      <c r="BL76" s="1133" t="s">
        <v>1764</v>
      </c>
    </row>
    <row customHeight="1" ht="11.25">
      <c r="A77" s="1139" t="s">
        <v>1765</v>
      </c>
      <c r="AZ77" s="1185" t="s">
        <v>1273</v>
      </c>
    </row>
    <row customHeight="1" ht="11.25">
      <c r="A78" s="1139" t="s">
        <v>1766</v>
      </c>
      <c r="AZ78" s="1185" t="s">
        <v>1304</v>
      </c>
    </row>
    <row customHeight="1" ht="11.25">
      <c r="A79" s="1139" t="s">
        <v>1767</v>
      </c>
      <c r="AZ79" s="1185" t="s">
        <v>1334</v>
      </c>
      <c r="BH79" s="1132" t="s">
        <v>1768</v>
      </c>
      <c r="BJ79" s="1132" t="s">
        <v>1769</v>
      </c>
      <c r="BL79" s="1132" t="s">
        <v>1770</v>
      </c>
    </row>
    <row customHeight="1" ht="11.25">
      <c r="A80" s="1139" t="s">
        <v>1771</v>
      </c>
      <c r="AZ80" s="1185" t="s">
        <v>1355</v>
      </c>
      <c r="BH80" s="1133" t="s">
        <v>1772</v>
      </c>
      <c r="BJ80" s="1133" t="s">
        <v>1773</v>
      </c>
      <c r="BL80" s="1133" t="s">
        <v>1774</v>
      </c>
    </row>
    <row customHeight="1" ht="11.25">
      <c r="A81" s="1139" t="s">
        <v>1775</v>
      </c>
      <c r="AZ81" s="1185" t="s">
        <v>1372</v>
      </c>
      <c r="BH81" s="1133" t="s">
        <v>1776</v>
      </c>
      <c r="BJ81" s="1133" t="s">
        <v>1777</v>
      </c>
      <c r="BL81" s="1133" t="s">
        <v>1778</v>
      </c>
    </row>
    <row customHeight="1" ht="11.25">
      <c r="A82" s="1139" t="s">
        <v>1779</v>
      </c>
      <c r="AZ82" s="1185" t="s">
        <v>1387</v>
      </c>
      <c r="BH82" s="1133" t="s">
        <v>1780</v>
      </c>
      <c r="BJ82" s="1133" t="s">
        <v>1781</v>
      </c>
      <c r="BL82" s="1133" t="s">
        <v>1782</v>
      </c>
    </row>
    <row customHeight="1" ht="11.25">
      <c r="A83" s="1139" t="s">
        <v>1783</v>
      </c>
      <c r="BH83" s="1133" t="s">
        <v>1784</v>
      </c>
      <c r="BJ83" s="1133" t="s">
        <v>1785</v>
      </c>
      <c r="BL83" s="1133" t="s">
        <v>1786</v>
      </c>
    </row>
    <row customHeight="1" ht="11.25">
      <c r="A84" s="1139" t="s">
        <v>1787</v>
      </c>
      <c r="AZ84" s="1132" t="s">
        <v>1788</v>
      </c>
    </row>
    <row customHeight="1" ht="11.25">
      <c r="A85" s="1935" t="s">
        <v>1789</v>
      </c>
      <c r="AZ85" s="1185" t="s">
        <v>1790</v>
      </c>
    </row>
    <row customHeight="1" ht="11.25">
      <c r="A86" s="1139" t="s">
        <v>1791</v>
      </c>
      <c r="AZ86" s="1185" t="s">
        <v>1792</v>
      </c>
      <c r="BH86" s="1132" t="s">
        <v>1793</v>
      </c>
      <c r="BJ86" s="1132" t="s">
        <v>1794</v>
      </c>
      <c r="BL86" s="1132" t="s">
        <v>1795</v>
      </c>
    </row>
    <row customHeight="1" ht="11.25">
      <c r="A87" s="1139" t="s">
        <v>1796</v>
      </c>
      <c r="AZ87" s="1185" t="s">
        <v>1797</v>
      </c>
      <c r="BH87" s="1133" t="s">
        <v>1798</v>
      </c>
      <c r="BJ87" s="1133" t="s">
        <v>1799</v>
      </c>
      <c r="BL87" s="1133" t="s">
        <v>1800</v>
      </c>
    </row>
    <row customHeight="1" ht="11.25">
      <c r="A88" s="1139" t="s">
        <v>1801</v>
      </c>
      <c r="AZ88" s="1671"/>
      <c r="BH88" s="1133" t="s">
        <v>1802</v>
      </c>
      <c r="BJ88" s="1133" t="s">
        <v>1803</v>
      </c>
      <c r="BL88" s="1133" t="s">
        <v>1804</v>
      </c>
    </row>
    <row customHeight="1" ht="11.25">
      <c r="A89" s="1139" t="s">
        <v>1805</v>
      </c>
      <c r="AZ89" s="1132" t="s">
        <v>1806</v>
      </c>
    </row>
    <row customHeight="1" ht="11.25">
      <c r="A90" s="1139" t="s">
        <v>1807</v>
      </c>
      <c r="AZ90" s="1185" t="s">
        <v>1031</v>
      </c>
    </row>
    <row customHeight="1" ht="11.25">
      <c r="A91" s="1139" t="s">
        <v>1808</v>
      </c>
      <c r="AZ91" s="1185" t="s">
        <v>1067</v>
      </c>
      <c r="BH91" s="1132" t="s">
        <v>1809</v>
      </c>
      <c r="BJ91" s="1132" t="s">
        <v>1810</v>
      </c>
      <c r="BL91" s="1132" t="s">
        <v>1811</v>
      </c>
    </row>
    <row customHeight="1" ht="11.25">
      <c r="AZ92" s="1185" t="s">
        <v>1812</v>
      </c>
      <c r="BH92" s="1133" t="s">
        <v>1813</v>
      </c>
      <c r="BJ92" s="1133" t="s">
        <v>1814</v>
      </c>
      <c r="BL92" s="1133" t="s">
        <v>1815</v>
      </c>
    </row>
    <row customHeight="1" ht="11.25">
      <c r="AZ93" s="1185" t="s">
        <v>1816</v>
      </c>
      <c r="BH93" s="1133" t="s">
        <v>1817</v>
      </c>
      <c r="BJ93" s="1133" t="s">
        <v>1818</v>
      </c>
      <c r="BL93" s="1133" t="s">
        <v>1819</v>
      </c>
    </row>
    <row customHeight="1" ht="11.25">
      <c r="AZ94" s="1185" t="s">
        <v>1820</v>
      </c>
    </row>
    <row r="96" customHeight="1" ht="11.25">
      <c r="AZ96" s="1132" t="s">
        <v>1821</v>
      </c>
      <c r="BH96" s="1132" t="s">
        <v>1822</v>
      </c>
      <c r="BJ96" s="1132" t="s">
        <v>1823</v>
      </c>
      <c r="BL96" s="1132" t="s">
        <v>1824</v>
      </c>
      <c r="BN96" s="1132" t="s">
        <v>1825</v>
      </c>
    </row>
    <row customHeight="1" ht="11.25">
      <c r="AZ97" s="1966" t="s">
        <v>1826</v>
      </c>
      <c r="BA97" s="1967" t="s">
        <v>1827</v>
      </c>
      <c r="BH97" s="1133" t="s">
        <v>1828</v>
      </c>
      <c r="BJ97" s="1133" t="s">
        <v>1829</v>
      </c>
      <c r="BL97" s="1133" t="s">
        <v>1830</v>
      </c>
      <c r="BN97" s="1133" t="s">
        <v>1831</v>
      </c>
    </row>
    <row customHeight="1" ht="11.25">
      <c r="AZ98" s="1966" t="s">
        <v>1832</v>
      </c>
      <c r="BA98" s="1967" t="s">
        <v>1833</v>
      </c>
      <c r="BH98" s="1133" t="s">
        <v>1834</v>
      </c>
      <c r="BJ98" s="1133" t="s">
        <v>1835</v>
      </c>
      <c r="BL98" s="1133" t="s">
        <v>1836</v>
      </c>
      <c r="BN98" s="1133" t="s">
        <v>1837</v>
      </c>
    </row>
    <row customHeight="1" ht="22.5">
      <c r="AZ99" s="1966" t="s">
        <v>1838</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1839</v>
      </c>
      <c r="BJ99" s="1133" t="s">
        <v>1840</v>
      </c>
      <c r="BL99" s="1133" t="s">
        <v>1841</v>
      </c>
      <c r="BN99" s="1133" t="s">
        <v>1842</v>
      </c>
    </row>
    <row customHeight="1" ht="22.5">
      <c r="AZ100" s="1966" t="s">
        <v>1843</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1433</v>
      </c>
      <c r="BL100" s="1133" t="s">
        <v>1433</v>
      </c>
      <c r="BN100" s="1133" t="s">
        <v>1844</v>
      </c>
    </row>
    <row customHeight="1" ht="22.5">
      <c r="AZ101" s="1966" t="s">
        <v>1845</v>
      </c>
      <c r="BA101" s="1967" t="s">
        <v>1846</v>
      </c>
      <c r="BN101" s="1133" t="s">
        <v>1847</v>
      </c>
    </row>
    <row customHeight="1" ht="22.5">
      <c r="AZ102" s="1966" t="s">
        <v>1848</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1849</v>
      </c>
    </row>
    <row customHeight="1" ht="11.25">
      <c r="AZ103" s="1966" t="s">
        <v>1850</v>
      </c>
      <c r="BA103" s="1967" t="s">
        <v>1851</v>
      </c>
      <c r="BN103" s="1133" t="s">
        <v>1852</v>
      </c>
    </row>
    <row customHeight="1" ht="11.25">
      <c r="BN104" s="1133" t="s">
        <v>1853</v>
      </c>
    </row>
    <row customHeight="1" ht="11.25">
      <c r="AZ105" s="1757" t="s">
        <v>1854</v>
      </c>
    </row>
    <row customHeight="1" ht="11.25">
      <c r="AZ106" s="1185" t="s">
        <v>488</v>
      </c>
    </row>
    <row customHeight="1" ht="11.25">
      <c r="AZ107" s="1185" t="s">
        <v>1855</v>
      </c>
      <c r="BH107" s="1132" t="s">
        <v>1856</v>
      </c>
      <c r="BJ107" s="1132" t="s">
        <v>1857</v>
      </c>
      <c r="BL107" s="1132" t="s">
        <v>1858</v>
      </c>
      <c r="BN107" s="1132" t="s">
        <v>1859</v>
      </c>
    </row>
    <row customHeight="1" ht="11.25">
      <c r="AZ108" s="1185" t="s">
        <v>584</v>
      </c>
      <c r="BH108" s="1133" t="s">
        <v>1860</v>
      </c>
      <c r="BJ108" s="1133" t="s">
        <v>1861</v>
      </c>
      <c r="BL108" s="1133" t="s">
        <v>1519</v>
      </c>
      <c r="BN108" s="1133" t="s">
        <v>1862</v>
      </c>
    </row>
    <row customHeight="1" ht="11.25">
      <c r="BH109" s="1133" t="s">
        <v>1863</v>
      </c>
    </row>
    <row customHeight="1" ht="11.25">
      <c r="AZ110" s="1757" t="s">
        <v>1864</v>
      </c>
      <c r="BH110" s="1133" t="s">
        <v>1863</v>
      </c>
    </row>
    <row customHeight="1" ht="11.25">
      <c r="AZ111" s="1966" t="s">
        <v>1826</v>
      </c>
      <c r="BA111" s="1967" t="s">
        <v>1827</v>
      </c>
    </row>
    <row customHeight="1" ht="11.25">
      <c r="AZ112" s="1966" t="s">
        <v>1832</v>
      </c>
      <c r="BA112" s="1967" t="s">
        <v>1833</v>
      </c>
    </row>
    <row customHeight="1" ht="22.5">
      <c r="AZ113" s="1966" t="s">
        <v>1838</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1843</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1865</v>
      </c>
    </row>
    <row customHeight="1" ht="22.5">
      <c r="AZ115" s="1966" t="s">
        <v>1848</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1234</v>
      </c>
    </row>
    <row customHeight="1" ht="11.25">
      <c r="AZ116" s="1966" t="s">
        <v>1850</v>
      </c>
      <c r="BA116" s="1967" t="s">
        <v>1851</v>
      </c>
      <c r="BH116" s="1133" t="s">
        <v>1260</v>
      </c>
    </row>
    <row customHeight="1" ht="11.25">
      <c r="BH117" s="1133" t="s">
        <v>456</v>
      </c>
    </row>
    <row customHeight="1" ht="11.25">
      <c r="BH118" s="1133"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B6562-97AF-67B3-3E2F-0.CE52BD6A}" mc:Ignorable="x14ac xr xr2 xr3">
  <dimension ref="A1:J25"/>
  <sheetViews>
    <sheetView topLeftCell="A1" showGridLines="0" zoomScale="90" workbookViewId="0">
      <selection activeCell="A1" sqref="A1"/>
    </sheetView>
  </sheetViews>
  <sheetFormatPr defaultColWidth="9.140625" customHeight="1" defaultRowHeight="11.25"/>
  <cols>
    <col min="1" max="2" style="3414" width="15.00390625" hidden="1" customWidth="1"/>
    <col min="3" max="3" style="3412" width="3.00390625" customWidth="1"/>
    <col min="4" max="4" style="3494" width="6.00390625" customWidth="1"/>
    <col min="5" max="5" style="3412" width="52.00390625" customWidth="1"/>
    <col min="6" max="6" style="3412" width="48.00390625" customWidth="1"/>
    <col min="7" max="7" style="3412" width="93.00390625" customWidth="1"/>
    <col min="8" max="8" style="3412" width="8.00390625" customWidth="1"/>
    <col min="9" max="9" style="3412" width="64.00390625" customWidth="1"/>
    <col min="10" max="10" style="3412" width="9.140625" hidden="1"/>
  </cols>
  <sheetData>
    <row customHeight="1" ht="11.25" hidden="1">
      <c r="A1" s="566" t="s">
        <v>308</v>
      </c>
      <c r="J1" s="520" t="s">
        <v>14</v>
      </c>
    </row>
    <row customHeight="1" ht="22.5" hidden="1">
      <c r="A2" s="567"/>
      <c r="B2" s="567"/>
      <c r="C2" s="1795" t="s">
        <v>454</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Ненецкий автономный округ</v>
      </c>
      <c r="E6" s="2241"/>
      <c r="F6" s="2241"/>
      <c r="I6" s="780"/>
      <c r="J6" s="520">
        <v>17</v>
      </c>
    </row>
    <row s="3413"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309</v>
      </c>
      <c r="E9" s="2270"/>
      <c r="F9" s="2270"/>
      <c r="G9" s="2273" t="s">
        <v>310</v>
      </c>
      <c r="J9" s="520">
        <v>11</v>
      </c>
    </row>
    <row customHeight="1" ht="11.549999999999999">
      <c r="A10" s="567"/>
      <c r="B10" s="567"/>
      <c r="C10" s="522"/>
      <c r="D10" s="1539" t="s">
        <v>91</v>
      </c>
      <c r="E10" s="1541" t="s">
        <v>311</v>
      </c>
      <c r="F10" s="1541" t="s">
        <v>312</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Нарьян-Марское МУ ПОКиТС</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1866</v>
      </c>
      <c r="F13" s="1586" t="s">
        <v>315</v>
      </c>
      <c r="G13" s="539"/>
      <c r="H13" s="1598"/>
      <c r="J13" s="520">
        <v>19</v>
      </c>
    </row>
    <row customHeight="1" ht="19.95">
      <c r="A14" s="567"/>
      <c r="B14" s="567"/>
      <c r="C14" s="522"/>
      <c r="D14" s="1588" t="s">
        <v>721</v>
      </c>
      <c r="E14" s="1589" t="s">
        <v>1867</v>
      </c>
      <c r="F14" s="1591"/>
      <c r="G14" s="1590" t="s">
        <v>1868</v>
      </c>
      <c r="H14" s="1598"/>
      <c r="J14" s="520">
        <v>19</v>
      </c>
    </row>
    <row customHeight="1" ht="19.95">
      <c r="A15" s="567"/>
      <c r="B15" s="567"/>
      <c r="C15" s="522"/>
      <c r="D15" s="1588" t="s">
        <v>316</v>
      </c>
      <c r="E15" s="1589" t="s">
        <v>1869</v>
      </c>
      <c r="F15" s="1591"/>
      <c r="G15" s="1590" t="s">
        <v>1870</v>
      </c>
      <c r="H15" s="1598"/>
      <c r="J15" s="520">
        <v>19</v>
      </c>
    </row>
    <row customHeight="1" ht="24">
      <c r="A16" s="567"/>
      <c r="B16" s="567"/>
      <c r="C16" s="522"/>
      <c r="D16" s="1588" t="s">
        <v>319</v>
      </c>
      <c r="E16" s="1587" t="s">
        <v>1871</v>
      </c>
      <c r="F16" s="1596"/>
      <c r="G16" s="539" t="s">
        <v>1872</v>
      </c>
      <c r="H16" s="1598"/>
      <c r="J16" s="520">
        <v>23</v>
      </c>
    </row>
    <row customHeight="1" ht="48.29999999999999">
      <c r="A17" s="567"/>
      <c r="B17" s="567"/>
      <c r="C17" s="522"/>
      <c r="D17" s="1585">
        <v>3</v>
      </c>
      <c r="E17" s="1592" t="s">
        <v>1873</v>
      </c>
      <c r="F17" s="1591"/>
      <c r="G17" s="539" t="s">
        <v>1874</v>
      </c>
      <c r="H17" s="1598"/>
      <c r="J17" s="520">
        <v>46</v>
      </c>
    </row>
    <row customHeight="1" ht="48.29999999999999">
      <c r="A18" s="1540">
        <v>1</v>
      </c>
      <c r="B18" s="567"/>
      <c r="C18" s="1542"/>
      <c r="D18" s="1585" t="s">
        <v>94</v>
      </c>
      <c r="E18" s="1592" t="s">
        <v>1875</v>
      </c>
      <c r="F18" s="1591"/>
      <c r="G18" s="539" t="s">
        <v>1874</v>
      </c>
      <c r="H18" s="1598"/>
      <c r="I18" s="917"/>
      <c r="J18" s="520">
        <v>46</v>
      </c>
    </row>
    <row customHeight="1" ht="23.25">
      <c r="A19" s="567"/>
      <c r="B19" s="567"/>
      <c r="C19" s="522"/>
      <c r="D19" s="1585" t="s">
        <v>114</v>
      </c>
      <c r="E19" s="1592" t="s">
        <v>1876</v>
      </c>
      <c r="F19" s="1586" t="s">
        <v>315</v>
      </c>
      <c r="G19" s="2536" t="s">
        <v>1877</v>
      </c>
      <c r="H19" s="540"/>
      <c r="J19" s="520">
        <v>22</v>
      </c>
    </row>
    <row s="5955" customFormat="1" customHeight="1" ht="5.25" hidden="1">
      <c r="A20" s="567"/>
      <c r="B20" s="567"/>
      <c r="C20" s="1594"/>
      <c r="D20" s="1593" t="s">
        <v>1128</v>
      </c>
      <c r="E20" s="1079"/>
      <c r="F20" s="1078"/>
      <c r="G20" s="2537"/>
      <c r="J20" s="1595">
        <v>0</v>
      </c>
    </row>
    <row customHeight="1" ht="15.75">
      <c r="A21" s="567"/>
      <c r="B21" s="567"/>
      <c r="C21" s="522"/>
      <c r="D21" s="532"/>
      <c r="E21" s="480" t="s">
        <v>348</v>
      </c>
      <c r="F21" s="534"/>
      <c r="G21" s="2538"/>
      <c r="H21" s="1598"/>
      <c r="J21" s="520">
        <v>15</v>
      </c>
    </row>
    <row s="3414" customFormat="1" customHeight="1" ht="26.25">
      <c r="A22" s="567"/>
      <c r="B22" s="567"/>
      <c r="C22" s="567"/>
      <c r="D22" s="1585" t="s">
        <v>95</v>
      </c>
      <c r="E22" s="539" t="s">
        <v>1878</v>
      </c>
      <c r="F22" s="1591"/>
      <c r="G22" s="539" t="s">
        <v>1879</v>
      </c>
      <c r="H22" s="1597"/>
      <c r="J22" s="566">
        <v>25</v>
      </c>
    </row>
    <row s="3414" customFormat="1" customHeight="1" ht="19.95">
      <c r="A23" s="567"/>
      <c r="B23" s="567"/>
      <c r="C23" s="567"/>
      <c r="D23" s="1585" t="s">
        <v>96</v>
      </c>
      <c r="E23" s="1592" t="s">
        <v>1880</v>
      </c>
      <c r="F23" s="1596"/>
      <c r="G23" s="539" t="s">
        <v>1881</v>
      </c>
      <c r="H23" s="1597"/>
      <c r="J23" s="566">
        <v>19</v>
      </c>
    </row>
    <row s="3414"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4296-8DCE-F9EE-0FAB-0.936989DA}" mc:Ignorable="x14ac xr xr2 xr3">
  <dimension ref="A1:IU24"/>
  <sheetViews>
    <sheetView topLeftCell="A1" showGridLines="0" zoomScale="90" workbookViewId="0">
      <selection activeCell="A1" sqref="A1"/>
    </sheetView>
  </sheetViews>
  <sheetFormatPr defaultColWidth="9.140625" customHeight="1" defaultRowHeight="14.25"/>
  <cols>
    <col min="1" max="1" style="5796" width="9.140625" hidden="1"/>
    <col min="2" max="2" style="5745" width="9.140625" hidden="1"/>
    <col min="3" max="3" style="5796" width="3.7109375" hidden="1" customWidth="1"/>
    <col min="4" max="4" style="6091" width="3.00390625" customWidth="1"/>
    <col min="5" max="5" style="5796" width="6.00390625" customWidth="1"/>
    <col min="6" max="6" style="5796" width="46.00390625" customWidth="1"/>
    <col min="7" max="8" style="5796" width="16.00390625" customWidth="1"/>
    <col min="9" max="9" style="5796" width="35.00390625" customWidth="1"/>
    <col min="10" max="10" style="5796" width="89.00390625" customWidth="1"/>
    <col min="11" max="11" style="5748" width="3.00390625" customWidth="1"/>
    <col min="12" max="14" style="5748" width="8.00390625" customWidth="1"/>
    <col min="15" max="15" style="5748" width="25.00390625" customWidth="1"/>
    <col min="16" max="16" style="5748" width="14.00390625" customWidth="1"/>
    <col min="17" max="20" style="2885" width="8.00390625" customWidth="1"/>
    <col min="21" max="254" style="5796" width="8.00390625" customWidth="1"/>
    <col min="255" max="255" style="5796" width="9.140625" hidden="1"/>
  </cols>
  <sheetData>
    <row customHeight="1" ht="22.5" hidden="1">
      <c r="F1" s="1696" t="s">
        <v>1882</v>
      </c>
      <c r="G1" s="1696" t="s">
        <v>51</v>
      </c>
      <c r="H1" s="1696" t="s">
        <v>53</v>
      </c>
      <c r="IU1" s="1220" t="s">
        <v>14</v>
      </c>
    </row>
    <row s="6516" customFormat="1" customHeight="1" ht="22.5" hidden="1">
      <c r="A2" s="896"/>
      <c r="B2" s="1225">
        <v>1</v>
      </c>
      <c r="C2" s="1225"/>
      <c r="D2" s="1993" t="s">
        <v>454</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5305"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56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56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56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562" customFormat="1" customHeight="1" ht="14.699999999999998">
      <c r="A7" s="1220"/>
      <c r="B7" s="1225"/>
      <c r="C7" s="1220"/>
      <c r="D7" s="1560"/>
      <c r="E7" s="2166" t="s">
        <v>309</v>
      </c>
      <c r="F7" s="2167"/>
      <c r="G7" s="2167"/>
      <c r="H7" s="2167"/>
      <c r="I7" s="2167"/>
      <c r="J7" s="2539" t="s">
        <v>310</v>
      </c>
      <c r="K7" s="565"/>
      <c r="L7" s="565"/>
      <c r="M7" s="565"/>
      <c r="N7" s="565"/>
      <c r="O7" s="291"/>
      <c r="P7" s="565"/>
      <c r="Q7" s="290"/>
      <c r="R7" s="290"/>
      <c r="S7" s="290"/>
      <c r="T7" s="290"/>
      <c r="IU7" s="572">
        <v>14</v>
      </c>
    </row>
    <row s="3562" customFormat="1" customHeight="1" ht="21">
      <c r="A8" s="1220"/>
      <c r="B8" s="1225"/>
      <c r="C8" s="1220"/>
      <c r="D8" s="1560"/>
      <c r="E8" s="1613" t="s">
        <v>91</v>
      </c>
      <c r="F8" s="1605" t="s">
        <v>1882</v>
      </c>
      <c r="G8" s="1605" t="s">
        <v>51</v>
      </c>
      <c r="H8" s="1605" t="s">
        <v>53</v>
      </c>
      <c r="I8" s="1605" t="s">
        <v>1883</v>
      </c>
      <c r="J8" s="2540"/>
      <c r="K8" s="565"/>
      <c r="L8" s="565"/>
      <c r="M8" s="565"/>
      <c r="N8" s="565"/>
      <c r="O8" s="291"/>
      <c r="P8" s="565"/>
      <c r="Q8" s="290"/>
      <c r="R8" s="290"/>
      <c r="S8" s="290"/>
      <c r="T8" s="290"/>
      <c r="IU8" s="572">
        <v>20</v>
      </c>
    </row>
    <row s="6516"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6516" customFormat="1" customHeight="1" ht="15.75">
      <c r="A10" s="1696"/>
      <c r="B10" s="1225"/>
      <c r="C10" s="477"/>
      <c r="D10" s="866"/>
      <c r="E10" s="1606"/>
      <c r="F10" s="1565" t="s">
        <v>1884</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56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56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56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487" customFormat="1" customHeight="1" ht="10.5">
      <c r="B14" s="899"/>
      <c r="D14" s="247"/>
      <c r="K14" s="565"/>
      <c r="L14" s="565"/>
      <c r="M14" s="565"/>
      <c r="N14" s="565"/>
      <c r="O14" s="291"/>
      <c r="P14" s="565"/>
      <c r="Q14" s="290"/>
      <c r="R14" s="290"/>
      <c r="S14" s="290"/>
      <c r="T14" s="290"/>
      <c r="IU14" s="246">
        <v>10</v>
      </c>
    </row>
    <row s="348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825B9-4E9B-8CDB-E0AC-0.8925ECB9}" mc:Ignorable="x14ac xr xr2 xr3">
  <dimension ref="A1:IW15"/>
  <sheetViews>
    <sheetView topLeftCell="A1" showGridLines="0" zoomScale="90" workbookViewId="0">
      <selection activeCell="A1" sqref="A1"/>
    </sheetView>
  </sheetViews>
  <sheetFormatPr defaultColWidth="9.140625" customHeight="1" defaultRowHeight="14.25"/>
  <cols>
    <col min="1" max="1" style="5796" width="9.140625" hidden="1"/>
    <col min="2" max="2" style="5745" width="9.140625" hidden="1"/>
    <col min="3" max="3" style="5796" width="3.7109375" hidden="1" customWidth="1"/>
    <col min="4" max="4" style="6091" width="3.00390625" customWidth="1"/>
    <col min="5" max="5" style="5796" width="6.00390625" customWidth="1"/>
    <col min="6" max="6" style="5796" width="27.00390625" customWidth="1"/>
    <col min="7" max="7" style="5796" width="16.00390625" customWidth="1"/>
    <col min="8" max="8" style="5796" width="12.00390625" customWidth="1"/>
    <col min="9" max="9" style="5796" width="32.00390625" customWidth="1"/>
    <col min="10" max="11" style="5796" width="41.00390625" customWidth="1"/>
    <col min="12" max="12" style="5796" width="89.00390625" customWidth="1"/>
    <col min="13" max="13" style="5748" width="3.00390625" customWidth="1"/>
    <col min="14" max="16" style="5748" width="8.00390625" customWidth="1"/>
    <col min="17" max="17" style="5748" width="25.00390625" customWidth="1"/>
    <col min="18" max="18" style="5748" width="14.00390625" customWidth="1"/>
    <col min="19" max="22" style="2885" width="8.00390625" customWidth="1"/>
    <col min="23" max="256" style="5796" width="8.00390625" customWidth="1"/>
    <col min="257" max="257" style="5796" width="9.140625" hidden="1"/>
  </cols>
  <sheetData>
    <row customHeight="1" ht="22.5" hidden="1">
      <c r="IW1" s="1220" t="s">
        <v>14</v>
      </c>
    </row>
    <row s="6516" customFormat="1" customHeight="1" ht="22.5" hidden="1">
      <c r="A2" s="896"/>
      <c r="B2" s="1225">
        <v>1</v>
      </c>
      <c r="C2" s="1225"/>
      <c r="D2" s="1993" t="s">
        <v>454</v>
      </c>
      <c r="E2" s="1954"/>
      <c r="F2" s="1957" t="str">
        <f>IF(ROIV_INFO_NAME="","",ROIV_INFO_NAME)</f>
        <v>Нарьян-Марское МУ ПОКиТС</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5305"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56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56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56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562" customFormat="1" customHeight="1" ht="14.699999999999998">
      <c r="A7" s="1220"/>
      <c r="B7" s="1225"/>
      <c r="C7" s="1220"/>
      <c r="D7" s="1560"/>
      <c r="E7" s="2166" t="s">
        <v>309</v>
      </c>
      <c r="F7" s="2167"/>
      <c r="G7" s="2167"/>
      <c r="H7" s="2167"/>
      <c r="I7" s="2167"/>
      <c r="J7" s="2167"/>
      <c r="K7" s="2167"/>
      <c r="L7" s="2539" t="s">
        <v>310</v>
      </c>
      <c r="M7" s="565"/>
      <c r="N7" s="565"/>
      <c r="O7" s="565"/>
      <c r="P7" s="565"/>
      <c r="Q7" s="291"/>
      <c r="R7" s="565"/>
      <c r="S7" s="290"/>
      <c r="T7" s="290"/>
      <c r="U7" s="290"/>
      <c r="V7" s="290"/>
      <c r="IW7" s="572">
        <v>14</v>
      </c>
    </row>
    <row s="356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562" customFormat="1" customHeight="1" ht="29.25">
      <c r="A9" s="1220"/>
      <c r="B9" s="1225"/>
      <c r="C9" s="1220"/>
      <c r="D9" s="1560"/>
      <c r="E9" s="2544"/>
      <c r="F9" s="2544"/>
      <c r="G9" s="1602" t="s">
        <v>1885</v>
      </c>
      <c r="H9" s="1602" t="s">
        <v>1886</v>
      </c>
      <c r="I9" s="1602" t="s">
        <v>1887</v>
      </c>
      <c r="J9" s="2544"/>
      <c r="K9" s="2544"/>
      <c r="L9" s="2540"/>
      <c r="M9" s="565"/>
      <c r="N9" s="565"/>
      <c r="O9" s="565"/>
      <c r="P9" s="565"/>
      <c r="Q9" s="291"/>
      <c r="R9" s="565"/>
      <c r="S9" s="290"/>
      <c r="T9" s="290"/>
      <c r="U9" s="290"/>
      <c r="V9" s="290"/>
      <c r="IW9" s="572">
        <v>28</v>
      </c>
    </row>
    <row s="6516" customFormat="1" customHeight="1" ht="23.25">
      <c r="A10" s="2164"/>
      <c r="B10" s="1225">
        <v>1</v>
      </c>
      <c r="C10" s="1225"/>
      <c r="D10" s="865"/>
      <c r="E10" s="863">
        <v>1</v>
      </c>
      <c r="F10" s="1604" t="str">
        <f>IF(ROIV_INFO_NAME="","",ROIV_INFO_NAME)</f>
        <v>Нарьян-Марское МУ ПОКиТС</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6516" customFormat="1" customHeight="1" ht="15.75">
      <c r="A11" s="2164"/>
      <c r="B11" s="1225"/>
      <c r="C11" s="477"/>
      <c r="D11" s="866"/>
      <c r="E11" s="486"/>
      <c r="F11" s="481" t="s">
        <v>1888</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56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56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56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59C6-C6AD-A17A-F91D-0.8E30F221}" mc:Ignorable="x14ac xr xr2 xr3">
  <dimension ref="A1:IW15"/>
  <sheetViews>
    <sheetView topLeftCell="A1" showGridLines="0" zoomScale="90" workbookViewId="0">
      <selection activeCell="A1" sqref="A1"/>
    </sheetView>
  </sheetViews>
  <sheetFormatPr defaultColWidth="9.140625" customHeight="1" defaultRowHeight="14.25"/>
  <cols>
    <col min="1" max="1" style="5796" width="9.140625" hidden="1"/>
    <col min="2" max="2" style="5745" width="9.140625" hidden="1"/>
    <col min="3" max="3" style="5796" width="3.7109375" hidden="1" customWidth="1"/>
    <col min="4" max="4" style="6091" width="3.00390625" customWidth="1"/>
    <col min="5" max="5" style="5796" width="6.00390625" customWidth="1"/>
    <col min="6" max="6" style="5796" width="27.00390625" customWidth="1"/>
    <col min="7" max="7" style="5796" width="16.00390625" customWidth="1"/>
    <col min="8" max="8" style="5796" width="12.00390625" customWidth="1"/>
    <col min="9" max="9" style="5796" width="32.00390625" customWidth="1"/>
    <col min="10" max="11" style="5796" width="41.00390625" customWidth="1"/>
    <col min="12" max="12" style="5796" width="89.00390625" customWidth="1"/>
    <col min="13" max="13" style="5748" width="3.00390625" customWidth="1"/>
    <col min="14" max="16" style="5748" width="8.00390625" customWidth="1"/>
    <col min="17" max="17" style="5748" width="25.00390625" customWidth="1"/>
    <col min="18" max="18" style="5748" width="14.00390625" customWidth="1"/>
    <col min="19" max="22" style="2885" width="8.00390625" customWidth="1"/>
    <col min="23" max="256" style="5796" width="8.00390625" customWidth="1"/>
    <col min="257" max="257" style="5796" width="9.140625" hidden="1"/>
  </cols>
  <sheetData>
    <row customHeight="1" ht="22.5" hidden="1">
      <c r="IW1" s="1696" t="s">
        <v>14</v>
      </c>
    </row>
    <row s="6516" customFormat="1" customHeight="1" ht="22.5" hidden="1">
      <c r="A2" s="896"/>
      <c r="B2" s="1431">
        <v>1</v>
      </c>
      <c r="C2" s="1431"/>
      <c r="D2" s="1993" t="s">
        <v>454</v>
      </c>
      <c r="E2" s="1969"/>
      <c r="F2" s="1971" t="str">
        <f>IF(ROIV_INFO_NAME="","",ROIV_INFO_NAME)</f>
        <v>Нарьян-Марское МУ ПОКиТС</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5305"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56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56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56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562" customFormat="1" customHeight="1" ht="14.699999999999998">
      <c r="A7" s="1696"/>
      <c r="B7" s="1431"/>
      <c r="C7" s="1696"/>
      <c r="D7" s="1580"/>
      <c r="E7" s="2166" t="s">
        <v>309</v>
      </c>
      <c r="F7" s="2167"/>
      <c r="G7" s="2167"/>
      <c r="H7" s="2167"/>
      <c r="I7" s="2167"/>
      <c r="J7" s="2167"/>
      <c r="K7" s="2167"/>
      <c r="L7" s="2539" t="s">
        <v>310</v>
      </c>
      <c r="M7" s="1689"/>
      <c r="N7" s="1689"/>
      <c r="O7" s="1689"/>
      <c r="P7" s="1689"/>
      <c r="Q7" s="1689"/>
      <c r="R7" s="1689"/>
      <c r="S7" s="290"/>
      <c r="T7" s="290"/>
      <c r="U7" s="290"/>
      <c r="V7" s="290"/>
      <c r="IW7" s="1674">
        <v>14</v>
      </c>
    </row>
    <row s="3562" customFormat="1" customHeight="1" ht="67.2">
      <c r="A8" s="1696"/>
      <c r="B8" s="1431"/>
      <c r="C8" s="1696"/>
      <c r="D8" s="1580"/>
      <c r="E8" s="2543" t="s">
        <v>91</v>
      </c>
      <c r="F8" s="2543" t="s">
        <v>1889</v>
      </c>
      <c r="G8" s="2545" t="s">
        <v>1890</v>
      </c>
      <c r="H8" s="2546"/>
      <c r="I8" s="2547"/>
      <c r="J8" s="2543" t="s">
        <v>1891</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562" customFormat="1" customHeight="1" ht="29.25">
      <c r="A9" s="1696"/>
      <c r="B9" s="1431"/>
      <c r="C9" s="1696"/>
      <c r="D9" s="1580"/>
      <c r="E9" s="2544"/>
      <c r="F9" s="2544"/>
      <c r="G9" s="1959" t="s">
        <v>1885</v>
      </c>
      <c r="H9" s="1959" t="s">
        <v>1886</v>
      </c>
      <c r="I9" s="1959" t="s">
        <v>1887</v>
      </c>
      <c r="J9" s="2544"/>
      <c r="K9" s="2544"/>
      <c r="L9" s="2540"/>
      <c r="M9" s="1689"/>
      <c r="N9" s="1689"/>
      <c r="O9" s="1689"/>
      <c r="P9" s="1689"/>
      <c r="Q9" s="1689"/>
      <c r="R9" s="1689"/>
      <c r="S9" s="290"/>
      <c r="T9" s="290"/>
      <c r="U9" s="290"/>
      <c r="V9" s="290"/>
      <c r="IW9" s="1674">
        <v>28</v>
      </c>
    </row>
    <row s="6516" customFormat="1" customHeight="1" ht="1.05">
      <c r="A10" s="2164"/>
      <c r="B10" s="1431">
        <v>1</v>
      </c>
      <c r="C10" s="1431"/>
      <c r="D10" s="865"/>
      <c r="E10" s="860">
        <v>0</v>
      </c>
      <c r="F10" s="1956" t="str">
        <f>IF(ROIV_INFO_NAME="","",ROIV_INFO_NAME)</f>
        <v>Нарьян-Марское МУ ПОКиТС</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6516" customFormat="1" customHeight="1" ht="15.75">
      <c r="A11" s="2164"/>
      <c r="B11" s="1431"/>
      <c r="C11" s="477"/>
      <c r="D11" s="866"/>
      <c r="E11" s="486"/>
      <c r="F11" s="716" t="s">
        <v>1888</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56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56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56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DDF03-292A-9321-B456-0.5101081E}" mc:Ignorable="x14ac xr xr2 xr3">
  <dimension ref="A1:Q19"/>
  <sheetViews>
    <sheetView topLeftCell="A1" showGridLines="0" zoomScale="90" workbookViewId="0">
      <selection activeCell="A1" sqref="A1"/>
    </sheetView>
  </sheetViews>
  <sheetFormatPr defaultColWidth="9.140625" customHeight="1" defaultRowHeight="14.25"/>
  <cols>
    <col min="1" max="1" style="5796" width="9.140625" hidden="1"/>
    <col min="2" max="2" style="5745" width="9.140625" hidden="1"/>
    <col min="3" max="3" style="5796" width="3.7109375" hidden="1" customWidth="1"/>
    <col min="4" max="4" style="6091" width="3.00390625" customWidth="1"/>
    <col min="5" max="5" style="5796" width="6.00390625" customWidth="1"/>
    <col min="6" max="6" style="5796" width="27.00390625" customWidth="1"/>
    <col min="7" max="7" style="5796" width="29.00390625" customWidth="1"/>
    <col min="8" max="8" style="5796" width="25.00390625" customWidth="1"/>
    <col min="9" max="9" style="5796" width="5.00390625" customWidth="1"/>
    <col min="10" max="10" style="5796" width="6.00390625" customWidth="1"/>
    <col min="11" max="11" style="5796" width="41.00390625" customWidth="1"/>
    <col min="12" max="12" style="5796" width="42.00390625" customWidth="1"/>
    <col min="13" max="13" style="5796" width="41.00390625" customWidth="1"/>
    <col min="14" max="14" style="5796" width="89.00390625" customWidth="1"/>
    <col min="15" max="15" style="5748" width="3.00390625" customWidth="1"/>
    <col min="16" max="16" style="5748" width="8.00390625" customWidth="1"/>
    <col min="17" max="17" style="5796" width="9.140625" hidden="1"/>
  </cols>
  <sheetData>
    <row customHeight="1" ht="22.5" hidden="1">
      <c r="Q1" s="1220" t="s">
        <v>14</v>
      </c>
    </row>
    <row s="6516" customFormat="1" customHeight="1" ht="22.5" hidden="1">
      <c r="A2" s="561"/>
      <c r="B2" s="1225">
        <v>1</v>
      </c>
      <c r="C2" s="1225"/>
      <c r="D2" s="1993" t="s">
        <v>454</v>
      </c>
      <c r="E2" s="2192">
        <v>1</v>
      </c>
      <c r="F2" s="2368" t="str">
        <f>IF(region_name="","",region_name)</f>
        <v>Ненецкий автономный округ</v>
      </c>
      <c r="G2" s="2548"/>
      <c r="H2" s="2549"/>
      <c r="I2" s="539"/>
      <c r="J2" s="1975">
        <v>1</v>
      </c>
      <c r="K2" s="1977"/>
      <c r="L2" s="1977"/>
      <c r="M2" s="1977"/>
      <c r="N2" s="557"/>
      <c r="O2" s="1600"/>
      <c r="P2" s="576"/>
      <c r="Q2" s="488">
        <v>0</v>
      </c>
    </row>
    <row s="6516" customFormat="1" customHeight="1" ht="22.5" hidden="1">
      <c r="A3" s="896"/>
      <c r="B3" s="1225"/>
      <c r="C3" s="1225"/>
      <c r="D3" s="866"/>
      <c r="E3" s="2192"/>
      <c r="F3" s="2368"/>
      <c r="G3" s="2548"/>
      <c r="H3" s="2550"/>
      <c r="I3" s="486"/>
      <c r="J3" s="1565"/>
      <c r="K3" s="1565" t="s">
        <v>1892</v>
      </c>
      <c r="L3" s="1608"/>
      <c r="M3" s="1985"/>
      <c r="N3" s="1978"/>
      <c r="O3" s="1600"/>
      <c r="P3" s="576"/>
      <c r="Q3" s="488">
        <v>0</v>
      </c>
    </row>
    <row s="5305" customFormat="1" customHeight="1" ht="5.25" hidden="1">
      <c r="A4" s="561"/>
      <c r="D4" s="559"/>
      <c r="F4" s="312" t="s">
        <v>86</v>
      </c>
      <c r="G4" s="559" t="s">
        <v>87</v>
      </c>
      <c r="H4" s="559"/>
      <c r="I4" s="1988"/>
      <c r="J4" s="1609"/>
      <c r="K4" s="1976"/>
      <c r="L4" s="1976"/>
      <c r="M4" s="1976"/>
      <c r="N4" s="1972"/>
      <c r="O4" s="312" t="s">
        <v>86</v>
      </c>
      <c r="P4" s="312"/>
      <c r="Q4" s="576">
        <v>0</v>
      </c>
    </row>
    <row s="6516" customFormat="1" customHeight="1" ht="22.5" hidden="1">
      <c r="A5" s="1706"/>
      <c r="B5" s="1431">
        <v>1</v>
      </c>
      <c r="C5" s="1431"/>
      <c r="D5" s="866"/>
      <c r="E5" s="1978"/>
      <c r="F5" s="1978"/>
      <c r="G5" s="1978"/>
      <c r="H5" s="1989"/>
      <c r="I5" s="1994" t="s">
        <v>454</v>
      </c>
      <c r="J5" s="1987">
        <v>1</v>
      </c>
      <c r="K5" s="1977"/>
      <c r="L5" s="1977"/>
      <c r="M5" s="1977"/>
      <c r="N5" s="557"/>
      <c r="O5" s="1600"/>
      <c r="P5" s="1701"/>
      <c r="Q5" s="689">
        <v>0</v>
      </c>
    </row>
    <row s="3562" customFormat="1" customHeight="1" ht="14.699999999999998">
      <c r="A6" s="1220"/>
      <c r="B6" s="1225"/>
      <c r="C6" s="1220"/>
      <c r="D6" s="1560"/>
      <c r="E6" s="574"/>
      <c r="F6" s="574"/>
      <c r="G6" s="574"/>
      <c r="H6" s="574"/>
      <c r="I6" s="574"/>
      <c r="J6" s="574"/>
      <c r="K6" s="574"/>
      <c r="L6" s="574"/>
      <c r="M6" s="574"/>
      <c r="N6" s="1700"/>
      <c r="O6" s="312"/>
      <c r="P6" s="565"/>
      <c r="Q6" s="572">
        <v>14</v>
      </c>
    </row>
    <row s="356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562" customFormat="1" customHeight="1" ht="14.699999999999998">
      <c r="A8" s="1220"/>
      <c r="B8" s="1225"/>
      <c r="C8" s="1220"/>
      <c r="D8" s="1560"/>
      <c r="E8" s="574"/>
      <c r="F8" s="232"/>
      <c r="G8" s="232"/>
      <c r="H8" s="232"/>
      <c r="I8" s="232"/>
      <c r="J8" s="232"/>
      <c r="K8" s="232"/>
      <c r="L8" s="232"/>
      <c r="M8" s="232"/>
      <c r="N8" s="681"/>
      <c r="O8" s="565"/>
      <c r="P8" s="565"/>
      <c r="Q8" s="572">
        <v>14</v>
      </c>
    </row>
    <row s="6021" customFormat="1" customHeight="1" ht="14.25" hidden="1">
      <c r="A9" s="1533"/>
      <c r="B9" s="1543"/>
      <c r="C9" s="1533"/>
      <c r="D9" s="1560"/>
      <c r="E9" s="1979"/>
      <c r="F9" s="1979"/>
      <c r="G9" s="1979"/>
      <c r="H9" s="1979"/>
      <c r="I9" s="2558"/>
      <c r="J9" s="2558"/>
      <c r="K9" s="2558"/>
      <c r="L9" s="1979"/>
      <c r="M9" s="1980"/>
      <c r="O9" s="1610"/>
      <c r="P9" s="1610"/>
      <c r="Q9" s="1611">
        <v>0</v>
      </c>
    </row>
    <row s="3562" customFormat="1" customHeight="1" ht="14.699999999999998">
      <c r="A10" s="1220"/>
      <c r="B10" s="1225"/>
      <c r="C10" s="1220"/>
      <c r="D10" s="1560"/>
      <c r="E10" s="2192" t="s">
        <v>309</v>
      </c>
      <c r="F10" s="2192"/>
      <c r="G10" s="2192"/>
      <c r="H10" s="2192"/>
      <c r="I10" s="2192"/>
      <c r="J10" s="2192"/>
      <c r="K10" s="2192"/>
      <c r="L10" s="2192"/>
      <c r="M10" s="2166"/>
      <c r="N10" s="2543" t="s">
        <v>310</v>
      </c>
      <c r="O10" s="565"/>
      <c r="P10" s="565"/>
      <c r="Q10" s="572">
        <v>14</v>
      </c>
    </row>
    <row s="3562" customFormat="1" customHeight="1" ht="44.25">
      <c r="A11" s="1696"/>
      <c r="B11" s="1431"/>
      <c r="C11" s="1696"/>
      <c r="D11" s="1580"/>
      <c r="E11" s="2557" t="s">
        <v>91</v>
      </c>
      <c r="F11" s="2557" t="s">
        <v>313</v>
      </c>
      <c r="G11" s="2557" t="s">
        <v>1893</v>
      </c>
      <c r="H11" s="2557"/>
      <c r="I11" s="2557" t="s">
        <v>1894</v>
      </c>
      <c r="J11" s="2557"/>
      <c r="K11" s="2557"/>
      <c r="L11" s="2557" t="s">
        <v>1895</v>
      </c>
      <c r="M11" s="2545" t="s">
        <v>1896</v>
      </c>
      <c r="N11" s="2556"/>
      <c r="O11" s="1689"/>
      <c r="P11" s="1689"/>
      <c r="Q11" s="1674">
        <v>42</v>
      </c>
    </row>
    <row s="3562" customFormat="1" customHeight="1" ht="29.25">
      <c r="A12" s="1220"/>
      <c r="B12" s="1225"/>
      <c r="C12" s="1220"/>
      <c r="D12" s="1560"/>
      <c r="E12" s="2543"/>
      <c r="F12" s="2557"/>
      <c r="G12" s="1974" t="s">
        <v>1897</v>
      </c>
      <c r="H12" s="1974" t="s">
        <v>317</v>
      </c>
      <c r="I12" s="2557"/>
      <c r="J12" s="2557"/>
      <c r="K12" s="2557"/>
      <c r="L12" s="2557"/>
      <c r="M12" s="2545"/>
      <c r="N12" s="2544"/>
      <c r="O12" s="565"/>
      <c r="P12" s="565"/>
      <c r="Q12" s="572">
        <v>28</v>
      </c>
    </row>
    <row s="6516" customFormat="1" customHeight="1" ht="23.25">
      <c r="A13" s="2164">
        <v>26379339</v>
      </c>
      <c r="B13" s="1225">
        <v>1</v>
      </c>
      <c r="C13" s="1225"/>
      <c r="D13" s="866"/>
      <c r="E13" s="2192">
        <v>1</v>
      </c>
      <c r="F13" s="2551" t="str">
        <f>IF(region_name="","",region_name)</f>
        <v>Ненецкий автономный округ</v>
      </c>
      <c r="G13" s="2552"/>
      <c r="H13" s="2559"/>
      <c r="I13" s="539"/>
      <c r="J13" s="1970">
        <v>1</v>
      </c>
      <c r="K13" s="1983"/>
      <c r="L13" s="1984"/>
      <c r="M13" s="1984"/>
      <c r="N13" s="2553" t="s">
        <v>1898</v>
      </c>
      <c r="O13" s="1600"/>
      <c r="P13" s="576"/>
      <c r="Q13" s="488">
        <v>22</v>
      </c>
    </row>
    <row s="6516" customFormat="1" customHeight="1" ht="23.25">
      <c r="A14" s="2164"/>
      <c r="B14" s="1225"/>
      <c r="C14" s="1225"/>
      <c r="D14" s="866"/>
      <c r="E14" s="2192"/>
      <c r="F14" s="2551"/>
      <c r="G14" s="2552"/>
      <c r="H14" s="2560"/>
      <c r="I14" s="486"/>
      <c r="J14" s="1565"/>
      <c r="K14" s="1565" t="s">
        <v>1892</v>
      </c>
      <c r="L14" s="1608"/>
      <c r="M14" s="1608"/>
      <c r="N14" s="2554"/>
      <c r="O14" s="1600"/>
      <c r="P14" s="576"/>
      <c r="Q14" s="488">
        <v>22</v>
      </c>
    </row>
    <row s="6516" customFormat="1" customHeight="1" ht="23.25">
      <c r="A15" s="2164"/>
      <c r="B15" s="1225"/>
      <c r="C15" s="477"/>
      <c r="D15" s="866"/>
      <c r="E15" s="486"/>
      <c r="F15" s="1565" t="s">
        <v>1884</v>
      </c>
      <c r="G15" s="1607"/>
      <c r="H15" s="1607"/>
      <c r="I15" s="252"/>
      <c r="J15" s="252"/>
      <c r="K15" s="252"/>
      <c r="L15" s="252"/>
      <c r="M15" s="252"/>
      <c r="N15" s="2554"/>
      <c r="O15" s="1601"/>
      <c r="P15" s="576"/>
      <c r="Q15" s="488">
        <v>22</v>
      </c>
    </row>
    <row s="3562" customFormat="1" customHeight="1" ht="22.049999999999997">
      <c r="A16" s="1220"/>
      <c r="B16" s="1225"/>
      <c r="C16" s="1220"/>
      <c r="D16" s="516"/>
      <c r="E16" s="245"/>
      <c r="F16" s="245"/>
      <c r="G16" s="245"/>
      <c r="H16" s="245"/>
      <c r="I16" s="245"/>
      <c r="J16" s="245"/>
      <c r="K16" s="245"/>
      <c r="L16" s="245"/>
      <c r="M16" s="574"/>
      <c r="N16" s="1700"/>
      <c r="O16" s="565"/>
      <c r="P16" s="565"/>
      <c r="Q16" s="572">
        <v>21</v>
      </c>
    </row>
    <row s="356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56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4BE68-D733-A6A1-1913-0.6F8932D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047" width="9.140625" hidden="1"/>
    <col min="2" max="2" style="6258" width="9.140625" hidden="1"/>
    <col min="3" max="3" style="6044" width="3.00390625" customWidth="1"/>
    <col min="4" max="4" style="6258" width="6.00390625" customWidth="1"/>
    <col min="5" max="5" style="6258" width="22.00390625" customWidth="1"/>
    <col min="6" max="6" style="6258" width="15.00390625" customWidth="1"/>
    <col min="7" max="7" style="6258" width="14.00390625" customWidth="1"/>
    <col min="8" max="8" style="6258" width="47.00390625" customWidth="1"/>
    <col min="9" max="9" style="6258" width="115.00390625" customWidth="1"/>
    <col min="10" max="10" style="6258" width="3.00390625" customWidth="1"/>
    <col min="11" max="12" style="6258" width="8.00390625" customWidth="1"/>
    <col min="13" max="13" style="6258" width="9.140625" hidden="1"/>
  </cols>
  <sheetData>
    <row customHeight="1" ht="14.25" hidden="1">
      <c r="M1" s="186" t="s">
        <v>14</v>
      </c>
    </row>
    <row customHeight="1" ht="14.25" hidden="1">
      <c r="M2" s="186">
        <v>0</v>
      </c>
    </row>
    <row customHeight="1" ht="14.25" hidden="1">
      <c r="M3" s="186">
        <v>0</v>
      </c>
    </row>
    <row customHeight="1" ht="3">
      <c r="M4" s="186">
        <v>3</v>
      </c>
    </row>
    <row s="5796" customFormat="1" customHeight="1" ht="31.5">
      <c r="A5" s="180"/>
      <c r="C5" s="155"/>
      <c r="D5" s="2165" t="s">
        <v>1899</v>
      </c>
      <c r="E5" s="2165"/>
      <c r="F5" s="2165"/>
      <c r="G5" s="2165"/>
      <c r="H5" s="2165"/>
      <c r="I5" s="330"/>
      <c r="M5" s="148">
        <v>30</v>
      </c>
    </row>
    <row customHeight="1" ht="3" hidden="1">
      <c r="D6" s="187"/>
      <c r="E6" s="187"/>
      <c r="F6" s="187"/>
      <c r="G6" s="187"/>
      <c r="H6" s="187"/>
      <c r="I6" s="187"/>
      <c r="M6" s="186">
        <v>0</v>
      </c>
    </row>
    <row s="6047" customFormat="1" customHeight="1" ht="14.699999999999998">
      <c r="B7" s="184"/>
      <c r="C7" s="185"/>
      <c r="D7" s="188"/>
      <c r="E7" s="188"/>
      <c r="F7" s="188"/>
      <c r="G7" s="188"/>
      <c r="H7" s="817"/>
      <c r="I7" s="188"/>
      <c r="J7" s="189"/>
      <c r="M7" s="183">
        <v>14</v>
      </c>
    </row>
    <row customHeight="1" ht="14.699999999999998">
      <c r="D8" s="2274" t="s">
        <v>309</v>
      </c>
      <c r="E8" s="2274"/>
      <c r="F8" s="2274"/>
      <c r="G8" s="2274"/>
      <c r="H8" s="2274"/>
      <c r="I8" s="2274" t="s">
        <v>310</v>
      </c>
      <c r="M8" s="186">
        <v>14</v>
      </c>
    </row>
    <row customHeight="1" ht="29.25">
      <c r="D9" s="2274" t="s">
        <v>91</v>
      </c>
      <c r="E9" s="2274" t="s">
        <v>1900</v>
      </c>
      <c r="F9" s="2274"/>
      <c r="G9" s="2274"/>
      <c r="H9" s="2274"/>
      <c r="I9" s="2274"/>
      <c r="M9" s="186">
        <v>28</v>
      </c>
    </row>
    <row customHeight="1" ht="24">
      <c r="D10" s="2274"/>
      <c r="E10" s="192" t="s">
        <v>1901</v>
      </c>
      <c r="F10" s="192" t="s">
        <v>1902</v>
      </c>
      <c r="G10" s="192" t="s">
        <v>1903</v>
      </c>
      <c r="H10" s="192" t="s">
        <v>399</v>
      </c>
      <c r="I10" s="2274"/>
      <c r="M10" s="186">
        <v>23</v>
      </c>
    </row>
    <row customHeight="1" ht="12" hidden="1">
      <c r="D11" s="152" t="s">
        <v>112</v>
      </c>
      <c r="E11" s="152" t="s">
        <v>94</v>
      </c>
      <c r="F11" s="152" t="s">
        <v>114</v>
      </c>
      <c r="G11" s="152" t="s">
        <v>95</v>
      </c>
      <c r="H11" s="152" t="s">
        <v>96</v>
      </c>
      <c r="I11" s="152" t="s">
        <v>115</v>
      </c>
      <c r="M11" s="186">
        <v>0</v>
      </c>
    </row>
    <row s="6258" customFormat="1" customHeight="1" ht="26.25">
      <c r="A12" s="210" t="s">
        <v>93</v>
      </c>
      <c r="B12" s="190" t="s">
        <v>28</v>
      </c>
      <c r="C12" s="191"/>
      <c r="D12" s="193" t="s">
        <v>112</v>
      </c>
      <c r="E12" s="446"/>
      <c r="F12" s="446"/>
      <c r="G12" s="1799" t="s">
        <v>28</v>
      </c>
      <c r="H12" s="447"/>
      <c r="I12" s="2234" t="s">
        <v>1904</v>
      </c>
      <c r="K12" s="337"/>
      <c r="L12" s="338"/>
      <c r="M12" s="182">
        <v>25</v>
      </c>
    </row>
    <row customHeight="1" ht="15.75">
      <c r="A13" s="186"/>
      <c r="B13" s="186"/>
      <c r="C13" s="186"/>
      <c r="D13" s="174"/>
      <c r="E13" s="195" t="s">
        <v>478</v>
      </c>
      <c r="F13" s="194"/>
      <c r="G13" s="194"/>
      <c r="H13" s="279"/>
      <c r="I13" s="2236"/>
      <c r="M13" s="186">
        <v>15</v>
      </c>
    </row>
    <row customHeight="1" ht="3">
      <c r="A14" s="186"/>
      <c r="B14" s="186"/>
      <c r="C14" s="186"/>
      <c r="M14" s="186">
        <v>3</v>
      </c>
    </row>
    <row customHeight="1" ht="29.25">
      <c r="E15" s="2561" t="s">
        <v>1905</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C123-4E53-D8DA-5896-0.A752E71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6078" width="9.140625" hidden="1"/>
    <col min="3" max="3" style="6077" width="3.00390625" customWidth="1"/>
    <col min="4" max="4" style="6078" width="6.00390625" customWidth="1"/>
    <col min="5" max="5" style="6078" width="94.00390625" customWidth="1"/>
    <col min="6" max="9" style="6078" width="8.00390625" customWidth="1"/>
    <col min="10" max="10" style="6078"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1906</v>
      </c>
      <c r="E7" s="2563"/>
      <c r="F7" s="332"/>
      <c r="J7" s="134">
        <v>22</v>
      </c>
    </row>
    <row customHeight="1" ht="3">
      <c r="C8" s="157"/>
      <c r="D8" s="135"/>
      <c r="E8" s="135"/>
      <c r="J8" s="134">
        <v>3</v>
      </c>
    </row>
    <row customHeight="1" ht="16.8">
      <c r="C9" s="157"/>
      <c r="D9" s="170" t="s">
        <v>91</v>
      </c>
      <c r="E9" s="325" t="s">
        <v>1907</v>
      </c>
      <c r="J9" s="134">
        <v>16</v>
      </c>
    </row>
    <row customHeight="1" ht="1.05">
      <c r="C10" s="157"/>
      <c r="D10" s="152"/>
      <c r="E10" s="152"/>
      <c r="J10" s="134">
        <v>1</v>
      </c>
    </row>
    <row customHeight="1" ht="11.25" hidden="1">
      <c r="C11" s="157"/>
      <c r="D11" s="215">
        <v>0</v>
      </c>
      <c r="E11" s="326"/>
      <c r="J11" s="134">
        <v>0</v>
      </c>
    </row>
    <row customHeight="1" ht="15.75">
      <c r="C12" s="201"/>
      <c r="D12" s="178">
        <v>1</v>
      </c>
      <c r="E12" s="442" t="s">
        <v>1908</v>
      </c>
      <c r="J12" s="134">
        <v>15</v>
      </c>
    </row>
    <row customHeight="1" ht="12.75">
      <c r="C13" s="157"/>
      <c r="D13" s="327"/>
      <c r="E13" s="328" t="s">
        <v>1909</v>
      </c>
      <c r="J13" s="134">
        <v>12</v>
      </c>
    </row>
    <row customHeight="1" ht="3">
      <c r="J14" s="134">
        <v>3</v>
      </c>
    </row>
    <row customHeight="1" ht="23.25">
      <c r="C15" s="202"/>
      <c r="D15" s="2564" t="s">
        <v>1910</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45D1C-4B22-DCF4-2C66-0.8A48C91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6078" width="9.140625" hidden="1"/>
    <col min="3" max="3" style="6077" width="3.00390625" customWidth="1"/>
    <col min="4" max="4" style="6078" width="6.00390625" customWidth="1"/>
    <col min="5" max="5" style="6078" width="94.00390625" customWidth="1"/>
    <col min="6" max="12" style="6078" width="8.00390625" customWidth="1"/>
    <col min="13" max="13" style="6078"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1911</v>
      </c>
      <c r="E7" s="2165"/>
      <c r="F7" s="332"/>
      <c r="M7" s="134">
        <v>22</v>
      </c>
    </row>
    <row customHeight="1" ht="3">
      <c r="C8" s="157"/>
      <c r="D8" s="135"/>
      <c r="E8" s="135"/>
      <c r="M8" s="134">
        <v>3</v>
      </c>
    </row>
    <row customHeight="1" ht="16.8">
      <c r="C9" s="157"/>
      <c r="D9" s="170" t="s">
        <v>91</v>
      </c>
      <c r="E9" s="173" t="s">
        <v>296</v>
      </c>
      <c r="M9" s="134">
        <v>16</v>
      </c>
    </row>
    <row customHeight="1" ht="12.75">
      <c r="C10" s="157"/>
      <c r="D10" s="152" t="s">
        <v>112</v>
      </c>
      <c r="E10" s="152" t="s">
        <v>113</v>
      </c>
      <c r="M10" s="134">
        <v>12</v>
      </c>
    </row>
    <row customHeight="1" ht="15" hidden="1">
      <c r="C11" s="157"/>
      <c r="D11" s="178">
        <v>0</v>
      </c>
      <c r="E11" s="214"/>
      <c r="M11" s="134">
        <v>0</v>
      </c>
    </row>
    <row customHeight="1" ht="14.699999999999998">
      <c r="C12" s="157"/>
      <c r="D12" s="174"/>
      <c r="E12" s="172" t="s">
        <v>1909</v>
      </c>
      <c r="M12" s="134">
        <v>14</v>
      </c>
    </row>
    <row customHeight="1" ht="14.25" hidden="1">
      <c r="A13" s="134" t="s">
        <v>85</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44416-E44B-F50D-9249-0.25506B3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516" width="9.140625" hidden="1"/>
    <col min="3" max="4" style="6516" width="3.00390625" customWidth="1"/>
    <col min="5" max="6" style="6516" width="15.00390625" customWidth="1"/>
    <col min="7" max="7" style="6516" width="11.57421875" customWidth="1"/>
    <col min="8" max="9" style="6516" width="3.00390625" customWidth="1"/>
    <col min="10" max="10" style="6516" width="12.00390625" customWidth="1"/>
    <col min="11" max="11" style="6516" width="0.28125" customWidth="1"/>
    <col min="12" max="13" style="6516" width="10.00390625" customWidth="1"/>
    <col min="14" max="15" style="6516" width="3.00390625" customWidth="1"/>
    <col min="16" max="16" style="6516" width="19.00390625" customWidth="1"/>
    <col min="17" max="17" style="6516" width="0.28125" customWidth="1"/>
    <col min="18" max="19" style="6516" width="10.00390625" customWidth="1"/>
    <col min="20" max="21" style="6516" width="3.00390625" customWidth="1"/>
    <col min="22" max="22" style="6516" width="25.00390625" customWidth="1"/>
    <col min="23" max="23" style="6516" width="0.28125" customWidth="1"/>
    <col min="24" max="25" style="6516" width="10.00390625" customWidth="1"/>
    <col min="26" max="27" style="6516" width="3.00390625" customWidth="1"/>
    <col min="28" max="28" style="6516" width="16.00390625" customWidth="1"/>
    <col min="29" max="29" style="6516" width="0.28125" customWidth="1"/>
    <col min="30" max="31" style="6516" width="10.00390625" customWidth="1"/>
    <col min="32" max="33" style="6516" width="3.00390625" customWidth="1"/>
    <col min="34" max="34" style="6516" width="8.00390625" customWidth="1"/>
    <col min="35" max="35" style="6516" width="21.00390625" customWidth="1"/>
    <col min="36" max="36" style="6516" width="8.00390625" customWidth="1"/>
    <col min="37" max="37" style="6047" width="8.00390625" customWidth="1"/>
    <col min="38" max="64" style="6516" width="8.00390625" customWidth="1"/>
    <col min="65" max="65" style="6516" width="9.140625" hidden="1"/>
  </cols>
  <sheetData>
    <row s="6477"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338" customFormat="1" customHeight="1" ht="11.25" hidden="1">
      <c r="L2" s="1618" t="s">
        <v>288</v>
      </c>
      <c r="M2" s="1618" t="s">
        <v>289</v>
      </c>
      <c r="R2" s="1618" t="s">
        <v>290</v>
      </c>
      <c r="S2" s="1618" t="s">
        <v>289</v>
      </c>
      <c r="X2" s="1618" t="s">
        <v>288</v>
      </c>
      <c r="Y2" s="1618" t="s">
        <v>289</v>
      </c>
      <c r="AD2" s="1618" t="s">
        <v>288</v>
      </c>
      <c r="AE2" s="1618" t="s">
        <v>289</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340"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562" customFormat="1" customHeight="1" ht="34.5">
      <c r="A4" s="1221"/>
      <c r="B4" s="1220"/>
      <c r="C4" s="1580"/>
      <c r="D4" s="2256" t="s">
        <v>291</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562" customFormat="1" customHeight="1" ht="14.699999999999998">
      <c r="A5" s="1697"/>
      <c r="B5" s="1696"/>
      <c r="C5" s="1580"/>
      <c r="D5" s="2241" t="str">
        <f>IF(org=0,"Не определено",org)</f>
        <v>Нарьян-Марское МУ ПОКиТС</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56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6477"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108</v>
      </c>
      <c r="F8" s="2257" t="s">
        <v>125</v>
      </c>
      <c r="G8" s="2258"/>
      <c r="H8" s="2257" t="s">
        <v>91</v>
      </c>
      <c r="I8" s="2258"/>
      <c r="J8" s="2192" t="s">
        <v>126</v>
      </c>
      <c r="K8" s="1621"/>
      <c r="L8" s="2261" t="s">
        <v>292</v>
      </c>
      <c r="M8" s="2261"/>
      <c r="N8" s="2261"/>
      <c r="O8" s="2261"/>
      <c r="P8" s="2261"/>
      <c r="Q8" s="1622"/>
      <c r="R8" s="2161" t="s">
        <v>293</v>
      </c>
      <c r="S8" s="2262"/>
      <c r="T8" s="2262"/>
      <c r="U8" s="2262"/>
      <c r="V8" s="2262"/>
      <c r="W8" s="1622"/>
      <c r="X8" s="2263" t="s">
        <v>294</v>
      </c>
      <c r="Y8" s="2263"/>
      <c r="Z8" s="2263"/>
      <c r="AA8" s="2263"/>
      <c r="AB8" s="2263"/>
      <c r="AC8" s="1623"/>
      <c r="AD8" s="2192" t="s">
        <v>295</v>
      </c>
      <c r="AE8" s="2192"/>
      <c r="AF8" s="2192"/>
      <c r="AG8" s="2192"/>
      <c r="AH8" s="2166"/>
      <c r="AI8" s="2192" t="s">
        <v>296</v>
      </c>
      <c r="AJ8" s="1639"/>
      <c r="BM8" s="358">
        <v>32</v>
      </c>
    </row>
    <row customHeight="1" ht="23.25">
      <c r="D9" s="2192"/>
      <c r="E9" s="2192"/>
      <c r="F9" s="2240" t="s">
        <v>92</v>
      </c>
      <c r="G9" s="2240" t="s">
        <v>131</v>
      </c>
      <c r="H9" s="2259"/>
      <c r="I9" s="2260"/>
      <c r="J9" s="2166"/>
      <c r="K9" s="1624"/>
      <c r="L9" s="2192" t="s">
        <v>297</v>
      </c>
      <c r="M9" s="2166"/>
      <c r="N9" s="2257" t="s">
        <v>91</v>
      </c>
      <c r="O9" s="2258"/>
      <c r="P9" s="2192" t="s">
        <v>132</v>
      </c>
      <c r="Q9" s="1621"/>
      <c r="R9" s="2192" t="s">
        <v>297</v>
      </c>
      <c r="S9" s="2166"/>
      <c r="T9" s="2257" t="s">
        <v>91</v>
      </c>
      <c r="U9" s="2258"/>
      <c r="V9" s="2192" t="s">
        <v>132</v>
      </c>
      <c r="W9" s="1621"/>
      <c r="X9" s="2192" t="s">
        <v>297</v>
      </c>
      <c r="Y9" s="2166"/>
      <c r="Z9" s="2257" t="s">
        <v>91</v>
      </c>
      <c r="AA9" s="2258"/>
      <c r="AB9" s="2192" t="s">
        <v>298</v>
      </c>
      <c r="AC9" s="1621"/>
      <c r="AD9" s="2192" t="s">
        <v>297</v>
      </c>
      <c r="AE9" s="2166"/>
      <c r="AF9" s="2257" t="s">
        <v>91</v>
      </c>
      <c r="AG9" s="2258"/>
      <c r="AH9" s="2166" t="s">
        <v>298</v>
      </c>
      <c r="AI9" s="2192"/>
      <c r="AJ9" s="1639"/>
      <c r="BM9" s="358">
        <v>22</v>
      </c>
    </row>
    <row customHeight="1" ht="24">
      <c r="D10" s="2240"/>
      <c r="E10" s="2240"/>
      <c r="F10" s="2264"/>
      <c r="G10" s="2264"/>
      <c r="H10" s="2265"/>
      <c r="I10" s="2266"/>
      <c r="J10" s="2257"/>
      <c r="K10" s="1624"/>
      <c r="L10" s="1643" t="s">
        <v>299</v>
      </c>
      <c r="M10" s="1638" t="s">
        <v>300</v>
      </c>
      <c r="N10" s="2259"/>
      <c r="O10" s="2260"/>
      <c r="P10" s="2240"/>
      <c r="Q10" s="1621"/>
      <c r="R10" s="1643" t="s">
        <v>299</v>
      </c>
      <c r="S10" s="1638" t="s">
        <v>300</v>
      </c>
      <c r="T10" s="2259"/>
      <c r="U10" s="2260"/>
      <c r="V10" s="2240"/>
      <c r="W10" s="1621"/>
      <c r="X10" s="1643" t="s">
        <v>299</v>
      </c>
      <c r="Y10" s="1638" t="s">
        <v>300</v>
      </c>
      <c r="Z10" s="2259"/>
      <c r="AA10" s="2260"/>
      <c r="AB10" s="2240"/>
      <c r="AC10" s="1621"/>
      <c r="AD10" s="1643" t="s">
        <v>299</v>
      </c>
      <c r="AE10" s="1638" t="s">
        <v>300</v>
      </c>
      <c r="AF10" s="2259"/>
      <c r="AG10" s="2260"/>
      <c r="AH10" s="2257"/>
      <c r="AI10" s="2240"/>
      <c r="AJ10" s="1639"/>
      <c r="AK10" s="319" t="s">
        <v>301</v>
      </c>
      <c r="AL10" s="319" t="s">
        <v>133</v>
      </c>
      <c r="BM10" s="358">
        <v>23</v>
      </c>
    </row>
    <row customHeight="1" ht="15">
      <c r="D11" s="2248" t="s">
        <v>112</v>
      </c>
      <c r="E11" s="2244" t="s">
        <v>302</v>
      </c>
      <c r="F11" s="2244" t="s">
        <v>303</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340"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302</v>
      </c>
      <c r="F17" s="2244" t="s">
        <v>304</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340"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302</v>
      </c>
      <c r="F23" s="2244" t="s">
        <v>305</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340"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302</v>
      </c>
      <c r="F29" s="2244" t="s">
        <v>306</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340"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302</v>
      </c>
      <c r="F35" s="2244" t="s">
        <v>307</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340"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D02BF-F055-96A5-0131-0.603498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516" width="1.7109375" customWidth="1"/>
    <col min="2" max="2" style="6516" width="34.57421875" customWidth="1"/>
    <col min="3" max="3" style="6516" width="85.00390625" customWidth="1"/>
    <col min="4" max="4" style="6516" width="17.00390625" customWidth="1"/>
    <col min="5" max="5" style="6516" width="8.00390625" customWidth="1"/>
    <col min="6" max="6" style="6516" width="9.140625" hidden="1"/>
  </cols>
  <sheetData>
    <row customHeight="1" ht="3">
      <c r="F1" s="154" t="s">
        <v>14</v>
      </c>
    </row>
    <row customHeight="1" ht="22.5">
      <c r="B2" s="2678" t="s">
        <v>1912</v>
      </c>
      <c r="C2" s="2565"/>
      <c r="D2" s="2565"/>
      <c r="E2" s="333"/>
      <c r="F2" s="154">
        <v>22</v>
      </c>
    </row>
    <row customHeight="1" ht="3">
      <c r="F3" s="154">
        <v>3</v>
      </c>
    </row>
    <row customHeight="1" ht="23.25">
      <c r="B4" s="2679" t="s">
        <v>1913</v>
      </c>
      <c r="C4" s="448" t="s">
        <v>1914</v>
      </c>
      <c r="D4" s="448" t="s">
        <v>1915</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D3365-8312-9F05-10DB-0.1E03459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516" width="26.57421875" customWidth="1"/>
    <col min="2" max="2" style="6516" width="10.00390625" customWidth="1"/>
    <col min="3" max="3" style="6516" width="9.140625"/>
    <col min="4" max="4" style="6516" width="11.140625" customWidth="1"/>
    <col min="5" max="5" style="6516" width="16.57421875" customWidth="1"/>
    <col min="6" max="6" style="6516" width="16.28125" customWidth="1"/>
    <col min="7" max="7" style="6516" width="19.140625" customWidth="1"/>
    <col min="8" max="11" style="6516" width="10.00390625" customWidth="1"/>
    <col min="12" max="12" style="6516" width="12.7109375" customWidth="1"/>
    <col min="13" max="13" style="6516" width="61.28125" customWidth="1"/>
    <col min="14" max="14" style="6516" width="10.00390625" customWidth="1"/>
    <col min="15" max="17" style="6516" width="23.7109375" customWidth="1"/>
    <col min="18" max="18" style="6516" width="11.7109375" customWidth="1"/>
    <col min="19" max="19" style="6516" width="8.57421875" customWidth="1"/>
    <col min="20" max="20" style="6516" width="11.7109375" customWidth="1"/>
    <col min="21" max="21" style="6516" width="8.57421875" customWidth="1"/>
    <col min="22" max="22" style="6516" width="4.7109375" customWidth="1"/>
    <col min="23" max="23" style="6516" width="115.7109375" customWidth="1"/>
    <col min="24" max="24" style="6516" width="115.28125" customWidth="1"/>
    <col min="25" max="27" style="6516" width="9.140625"/>
    <col min="28" max="28" style="6516" width="115.7109375" customWidth="1"/>
    <col min="29" max="29" style="6516" width="9.140625"/>
    <col min="30" max="90" style="6516" width="115.7109375" customWidth="1"/>
    <col min="91" max="184" style="6516" width="9.140625"/>
  </cols>
  <sheetData>
    <row r="2" s="6087" customFormat="1" customHeight="1" ht="17.25">
      <c r="A2" s="1880" t="s">
        <v>1916</v>
      </c>
    </row>
    <row r="4" s="6078" customFormat="1" customHeight="1" ht="15">
      <c r="C4" s="1881"/>
      <c r="D4" s="178"/>
      <c r="E4" s="442"/>
    </row>
    <row r="6" s="6087" customFormat="1" customHeight="1" ht="17.25">
      <c r="A6" s="1880" t="s">
        <v>1917</v>
      </c>
    </row>
    <row r="8" s="6078" customFormat="1" customHeight="1" ht="17.25">
      <c r="C8" s="1882"/>
      <c r="D8" s="178"/>
      <c r="E8" s="179"/>
    </row>
    <row r="11" s="6087" customFormat="1" customHeight="1" ht="17.25">
      <c r="A11" s="1880" t="s">
        <v>1918</v>
      </c>
    </row>
    <row r="13" s="3562" customFormat="1" customHeight="1" ht="15">
      <c r="A13" s="2282">
        <v>1</v>
      </c>
      <c r="B13" s="1225"/>
      <c r="C13" s="866" t="s">
        <v>454</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6516"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6516"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6087" customFormat="1" customHeight="1" ht="17.25">
      <c r="A17" s="1880" t="s">
        <v>1919</v>
      </c>
    </row>
    <row r="19" s="6516" customFormat="1" customHeight="1" ht="15">
      <c r="A19" s="1947"/>
      <c r="B19" s="1431">
        <v>1</v>
      </c>
      <c r="C19" s="1431"/>
      <c r="D19" s="865" t="s">
        <v>454</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6516" customFormat="1" customHeight="1" ht="15">
      <c r="A21" s="1880" t="s">
        <v>1920</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6516" customFormat="1" customHeight="1" ht="15">
      <c r="U22" s="250"/>
    </row>
    <row s="6339" customFormat="1" customHeight="1" ht="15">
      <c r="A23" s="488"/>
      <c r="B23" s="488"/>
      <c r="C23" s="1793" t="s">
        <v>454</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6339"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6339"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6516" customFormat="1" customHeight="1" ht="15">
      <c r="U26" s="250"/>
    </row>
    <row s="6516" customFormat="1" customHeight="1" ht="15">
      <c r="A27" s="1880" t="s">
        <v>1921</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6516" customFormat="1" customHeight="1" ht="15">
      <c r="U28" s="250"/>
    </row>
    <row s="6339" customFormat="1" customHeight="1" ht="15">
      <c r="A29" s="488"/>
      <c r="B29" s="488"/>
      <c r="C29" s="241"/>
      <c r="D29" s="1886"/>
      <c r="E29" s="1886"/>
      <c r="F29" s="1886"/>
      <c r="G29" s="2626" t="s">
        <v>454</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6339"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6516" customFormat="1" customHeight="1" ht="15">
      <c r="U31" s="250"/>
    </row>
    <row s="6516" customFormat="1" customHeight="1" ht="15">
      <c r="A32" s="1880" t="s">
        <v>1922</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6516" customFormat="1" customHeight="1" ht="15">
      <c r="U33" s="250"/>
    </row>
    <row s="6339" customFormat="1" customHeight="1" ht="15">
      <c r="A34" s="488"/>
      <c r="B34" s="488"/>
      <c r="C34" s="241"/>
      <c r="D34" s="1886"/>
      <c r="E34" s="1886"/>
      <c r="F34" s="1886"/>
      <c r="G34" s="1886"/>
      <c r="H34" s="1886"/>
      <c r="I34" s="1886"/>
      <c r="J34" s="1886"/>
      <c r="K34" s="1864" t="s">
        <v>454</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6516" customFormat="1" customHeight="1" ht="15">
      <c r="U35" s="250"/>
    </row>
    <row s="6516" customFormat="1" customHeight="1" ht="15">
      <c r="U36" s="250"/>
    </row>
    <row s="6087" customFormat="1" customHeight="1" ht="11.25">
      <c r="A37" s="1880" t="s">
        <v>1923</v>
      </c>
    </row>
    <row customHeight="1" ht="11.25"/>
    <row s="3412" customFormat="1" customHeight="1" ht="22.5">
      <c r="A39" s="1856"/>
      <c r="B39" s="522"/>
      <c r="C39" s="924"/>
      <c r="D39" s="505"/>
      <c r="E39" s="925"/>
      <c r="F39" s="1877"/>
      <c r="G39" s="1887"/>
      <c r="H39" s="540"/>
    </row>
    <row customHeight="1" ht="11.25"/>
    <row s="6087" customFormat="1" customHeight="1" ht="11.25">
      <c r="A41" s="1880" t="s">
        <v>1924</v>
      </c>
    </row>
    <row customHeight="1" ht="11.25"/>
    <row s="3412" customFormat="1" customHeight="1" ht="22.5">
      <c r="A43" s="522"/>
      <c r="B43" s="522"/>
      <c r="C43" s="522"/>
      <c r="D43" s="505"/>
      <c r="E43" s="925"/>
      <c r="F43" s="926"/>
      <c r="G43" s="1887"/>
      <c r="H43" s="540"/>
    </row>
    <row customHeight="1" ht="11.25"/>
    <row s="6087" customFormat="1" customHeight="1" ht="11.25">
      <c r="A45" s="1880" t="s">
        <v>1925</v>
      </c>
    </row>
    <row customHeight="1" ht="11.25"/>
    <row s="3412" customFormat="1" customHeight="1" ht="24">
      <c r="A47" s="2267" t="s">
        <v>322</v>
      </c>
      <c r="B47" s="567"/>
      <c r="C47" s="2278"/>
      <c r="D47" s="510" t="str">
        <f>A47</f>
        <v>5.1</v>
      </c>
      <c r="E47" s="507" t="s">
        <v>323</v>
      </c>
      <c r="F47" s="2041" t="s">
        <v>315</v>
      </c>
      <c r="G47" s="509" t="s">
        <v>324</v>
      </c>
      <c r="H47" s="540"/>
      <c r="I47" s="917"/>
    </row>
    <row s="3412" customFormat="1" customHeight="1" ht="22.5">
      <c r="A48" s="2267"/>
      <c r="B48" s="567"/>
      <c r="C48" s="2278"/>
      <c r="D48" s="505" t="str">
        <f>D47&amp;".1"</f>
        <v>5.1.1</v>
      </c>
      <c r="E48" s="504" t="s">
        <v>325</v>
      </c>
      <c r="F48" s="2042" t="s">
        <v>28</v>
      </c>
      <c r="G48" s="539"/>
      <c r="H48" s="540"/>
      <c r="I48" s="917"/>
    </row>
    <row s="3412" customFormat="1" customHeight="1" ht="22.5">
      <c r="A49" s="2267"/>
      <c r="B49" s="567"/>
      <c r="C49" s="2278"/>
      <c r="D49" s="505" t="str">
        <f>D47&amp;".2"</f>
        <v>5.1.2</v>
      </c>
      <c r="E49" s="504" t="s">
        <v>326</v>
      </c>
      <c r="F49" s="1797" t="s">
        <v>28</v>
      </c>
      <c r="G49" s="509" t="s">
        <v>327</v>
      </c>
      <c r="H49" s="540"/>
      <c r="I49" s="917"/>
    </row>
    <row s="3412" customFormat="1" customHeight="1" ht="22.5">
      <c r="A50" s="2267"/>
      <c r="B50" s="567"/>
      <c r="C50" s="2278"/>
      <c r="D50" s="505" t="str">
        <f>D47&amp;".3"</f>
        <v>5.1.3</v>
      </c>
      <c r="E50" s="504" t="s">
        <v>328</v>
      </c>
      <c r="F50" s="2042" t="s">
        <v>28</v>
      </c>
      <c r="G50" s="539"/>
      <c r="H50" s="540"/>
      <c r="I50" s="917"/>
    </row>
    <row s="3412" customFormat="1" customHeight="1" ht="22.5">
      <c r="A51" s="2267"/>
      <c r="B51" s="567"/>
      <c r="C51" s="2278"/>
      <c r="D51" s="505" t="str">
        <f>D47&amp;".4"</f>
        <v>5.1.4</v>
      </c>
      <c r="E51" s="504" t="s">
        <v>329</v>
      </c>
      <c r="F51" s="2042" t="s">
        <v>28</v>
      </c>
      <c r="G51" s="509" t="s">
        <v>330</v>
      </c>
      <c r="H51" s="540"/>
      <c r="I51" s="917"/>
    </row>
    <row r="54" s="6087" customFormat="1" customHeight="1" ht="17.25">
      <c r="A54" s="1880" t="s">
        <v>1926</v>
      </c>
    </row>
    <row r="56" s="3515" customFormat="1" customHeight="1" ht="18.75">
      <c r="A56" s="154"/>
      <c r="B56" s="1888"/>
      <c r="C56" s="1888"/>
      <c r="D56" s="1889"/>
      <c r="E56" s="1874"/>
      <c r="F56" s="933">
        <v>13</v>
      </c>
      <c r="G56" s="932"/>
      <c r="H56" s="858"/>
      <c r="I56" s="856"/>
      <c r="J56" s="585" t="s">
        <v>64</v>
      </c>
      <c r="K56" s="1890" t="s">
        <v>28</v>
      </c>
      <c r="L56" s="154"/>
      <c r="M56" s="1701"/>
      <c r="N56" s="1701"/>
      <c r="O56" s="1701"/>
      <c r="P56" s="581" t="s">
        <v>401</v>
      </c>
      <c r="Q56" s="581" t="s">
        <v>402</v>
      </c>
      <c r="R56" s="582" t="s">
        <v>403</v>
      </c>
      <c r="S56" s="1701" t="s">
        <v>404</v>
      </c>
      <c r="T56" s="1701"/>
      <c r="U56" s="1701"/>
      <c r="V56" s="1701"/>
    </row>
    <row r="58" s="6087" customFormat="1" customHeight="1" ht="11.25">
      <c r="A58" s="1880" t="s">
        <v>1927</v>
      </c>
    </row>
    <row r="60" s="5796"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390</v>
      </c>
      <c r="AQ60" s="1689" t="s">
        <v>390</v>
      </c>
      <c r="AR60" s="1701"/>
      <c r="AS60" s="1701"/>
    </row>
    <row r="62" s="6087" customFormat="1" customHeight="1" ht="11.25">
      <c r="A62" s="1880" t="s">
        <v>1928</v>
      </c>
    </row>
    <row r="64" s="6258" customFormat="1" customHeight="1" ht="15">
      <c r="A64" s="210" t="s">
        <v>93</v>
      </c>
      <c r="B64" s="190" t="s">
        <v>28</v>
      </c>
      <c r="C64" s="1891"/>
      <c r="D64" s="193"/>
      <c r="E64" s="446"/>
      <c r="F64" s="446"/>
      <c r="G64" s="1868"/>
      <c r="H64" s="1890"/>
      <c r="I64" s="1869"/>
      <c r="K64" s="337"/>
      <c r="L64" s="338"/>
    </row>
    <row r="66" s="6087" customFormat="1" customHeight="1" ht="11.25">
      <c r="A66" s="1880" t="s">
        <v>1929</v>
      </c>
    </row>
    <row r="68" s="5796" customFormat="1" customHeight="1" ht="14.25">
      <c r="A68" s="408"/>
      <c r="B68" s="1225"/>
      <c r="C68" s="441"/>
      <c r="D68" s="1875"/>
      <c r="E68" s="951"/>
      <c r="F68" s="1890"/>
      <c r="G68" s="154"/>
      <c r="I68" s="1689"/>
      <c r="J68" s="1689"/>
    </row>
    <row r="70" s="6087" customFormat="1" customHeight="1" ht="11.25">
      <c r="A70" s="1880" t="s">
        <v>1930</v>
      </c>
    </row>
    <row r="72" s="5796" customFormat="1" customHeight="1" ht="27">
      <c r="A72" s="1231"/>
      <c r="B72" s="1231"/>
      <c r="C72" s="1231"/>
      <c r="D72" s="1225"/>
      <c r="E72" s="1892"/>
      <c r="F72" s="2646"/>
      <c r="G72" s="2647"/>
      <c r="H72" s="2648" t="s">
        <v>64</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64</v>
      </c>
      <c r="Z72" s="1873"/>
      <c r="AA72" s="1857">
        <v>1</v>
      </c>
      <c r="AB72" s="1307"/>
      <c r="AD72" s="1701" t="s">
        <v>1931</v>
      </c>
    </row>
    <row s="5796"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1932</v>
      </c>
    </row>
    <row r="75" s="6087" customFormat="1" customHeight="1" ht="11.25">
      <c r="A75" s="1880" t="s">
        <v>1933</v>
      </c>
    </row>
    <row r="77" s="5796"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1931</v>
      </c>
    </row>
    <row r="79" s="6087" customFormat="1" customHeight="1" ht="11.25">
      <c r="A79" s="1880" t="s">
        <v>1934</v>
      </c>
    </row>
    <row customHeight="1" ht="17.25"/>
    <row s="5796"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5796" customFormat="1" customHeight="1" ht="0.75">
      <c r="A82" s="1231"/>
      <c r="B82" s="1231"/>
      <c r="C82" s="1231"/>
      <c r="D82" s="1225"/>
      <c r="E82" s="1235"/>
      <c r="F82" s="2601"/>
      <c r="G82" s="2580"/>
      <c r="H82" s="2605" t="s">
        <v>385</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5796"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5796"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5796"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5796"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5796" customFormat="1" customHeight="1" ht="12">
      <c r="A87" s="1231"/>
      <c r="B87" s="1231"/>
      <c r="C87" s="1231"/>
      <c r="D87" s="1225"/>
      <c r="E87" s="1235"/>
      <c r="F87" s="2602"/>
      <c r="G87" s="1255"/>
      <c r="H87" s="1255"/>
      <c r="I87" s="2600" t="s">
        <v>1935</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6087" customFormat="1" customHeight="1" ht="11.25">
      <c r="A89" s="1880" t="s">
        <v>1936</v>
      </c>
    </row>
    <row r="91" s="5796"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5796"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5796"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1937</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6087" customFormat="1" customHeight="1" ht="11.25">
      <c r="A95" s="1880" t="s">
        <v>1938</v>
      </c>
    </row>
    <row r="97" s="5796"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6087" customFormat="1" customHeight="1" ht="11.25">
      <c r="A99" s="1880" t="s">
        <v>1939</v>
      </c>
    </row>
    <row r="101" s="5796" customFormat="1" customHeight="1" ht="11.25">
      <c r="A101" s="1231"/>
      <c r="B101" s="1231"/>
      <c r="C101" s="1231"/>
      <c r="D101" s="1225"/>
      <c r="E101" s="1235"/>
      <c r="F101" s="1894"/>
      <c r="G101" s="1895"/>
      <c r="H101" s="2580" t="s">
        <v>112</v>
      </c>
      <c r="I101" s="2581"/>
      <c r="J101" s="2550"/>
      <c r="K101" s="2582"/>
      <c r="L101" s="2172" t="s">
        <v>19</v>
      </c>
      <c r="M101" s="2173"/>
      <c r="N101" s="2051"/>
      <c r="O101" s="1242" t="s">
        <v>385</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5796"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5796"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5796"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1937</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5796" customFormat="1" customHeight="1" ht="11.25">
      <c r="A105" s="1231"/>
      <c r="B105" s="1231"/>
      <c r="C105" s="1231"/>
      <c r="D105" s="1225"/>
      <c r="E105" s="1235"/>
      <c r="F105" s="1894"/>
      <c r="G105" s="1895"/>
      <c r="H105" s="2580"/>
      <c r="I105" s="2581"/>
      <c r="J105" s="2550"/>
      <c r="K105" s="2582"/>
      <c r="L105" s="2172"/>
      <c r="M105" s="2173"/>
      <c r="N105" s="1240"/>
      <c r="O105" s="1241"/>
      <c r="P105" s="1233" t="s">
        <v>1940</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6087" customFormat="1" customHeight="1" ht="11.25">
      <c r="A107" s="1880" t="s">
        <v>1941</v>
      </c>
    </row>
    <row customHeight="1" ht="17.25"/>
    <row s="5642"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5642"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5642" customFormat="1" customHeight="1" ht="12">
      <c r="A111" s="989"/>
      <c r="B111" s="988"/>
      <c r="C111" s="989"/>
      <c r="D111" s="989"/>
      <c r="E111" s="989"/>
      <c r="F111" s="1278"/>
      <c r="G111" s="1865" t="s">
        <v>1942</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6087" customFormat="1" customHeight="1" ht="11.25">
      <c r="A113" s="1880" t="s">
        <v>1943</v>
      </c>
    </row>
    <row r="115" s="6516"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622</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6516" customFormat="1" customHeight="1" ht="15">
      <c r="A116" s="688"/>
      <c r="B116" s="689"/>
      <c r="C116" s="689"/>
      <c r="D116" s="2644"/>
      <c r="E116" s="2442" t="s">
        <v>577</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6516" customFormat="1" customHeight="1" ht="15">
      <c r="A117" s="688"/>
      <c r="B117" s="689"/>
      <c r="C117" s="689"/>
      <c r="D117" s="2644"/>
      <c r="E117" s="2442" t="s">
        <v>578</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6516" customFormat="1" customHeight="1" ht="24.75">
      <c r="A118" s="1871"/>
      <c r="B118" s="1225"/>
      <c r="C118" s="477"/>
      <c r="D118" s="2644"/>
      <c r="E118" s="2441" t="s">
        <v>623</v>
      </c>
      <c r="F118" s="2441"/>
      <c r="G118" s="2441"/>
      <c r="H118" s="2441"/>
      <c r="I118" s="2441"/>
      <c r="J118" s="2441"/>
      <c r="K118" s="2441"/>
      <c r="L118" s="2441"/>
      <c r="M118" s="2441"/>
      <c r="N118" s="2441"/>
      <c r="O118" s="2441"/>
      <c r="P118" s="2441"/>
      <c r="Q118" s="623">
        <f>SUMIF(T119:T120,"i",Q119:Q120)</f>
        <v>0</v>
      </c>
      <c r="R118" s="1082"/>
      <c r="S118" s="1863" t="s">
        <v>624</v>
      </c>
      <c r="T118" s="782" t="s">
        <v>625</v>
      </c>
      <c r="U118" s="2439">
        <v>1</v>
      </c>
      <c r="V118" s="2439" t="s">
        <v>588</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6516"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6516" customFormat="1" customHeight="1" ht="11.25">
      <c r="A120" s="1871"/>
      <c r="B120" s="1225"/>
      <c r="C120" s="477"/>
      <c r="D120" s="2644"/>
      <c r="E120" s="714" t="s">
        <v>28</v>
      </c>
      <c r="F120" s="1233" t="s">
        <v>28</v>
      </c>
      <c r="G120" s="1233" t="s">
        <v>1944</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6516" customFormat="1" customHeight="1" ht="24.75">
      <c r="A121" s="1871"/>
      <c r="B121" s="1225"/>
      <c r="C121" s="477"/>
      <c r="D121" s="2644"/>
      <c r="E121" s="2441" t="s">
        <v>626</v>
      </c>
      <c r="F121" s="2441"/>
      <c r="G121" s="2441"/>
      <c r="H121" s="2441"/>
      <c r="I121" s="2441"/>
      <c r="J121" s="2441"/>
      <c r="K121" s="2441"/>
      <c r="L121" s="2441"/>
      <c r="M121" s="2441"/>
      <c r="N121" s="2441"/>
      <c r="O121" s="2441"/>
      <c r="P121" s="2441"/>
      <c r="Q121" s="623">
        <f>SUMIF(T122:T123,"i",Q122:Q123)</f>
        <v>0</v>
      </c>
      <c r="R121" s="1082"/>
      <c r="S121" s="1863" t="s">
        <v>627</v>
      </c>
      <c r="T121" s="782" t="s">
        <v>625</v>
      </c>
      <c r="U121" s="2439">
        <v>1</v>
      </c>
      <c r="V121" s="2439" t="s">
        <v>588</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6516"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6516" customFormat="1" customHeight="1" ht="11.25">
      <c r="A123" s="1871"/>
      <c r="B123" s="1225"/>
      <c r="C123" s="477"/>
      <c r="D123" s="2645"/>
      <c r="E123" s="714" t="s">
        <v>28</v>
      </c>
      <c r="F123" s="1233" t="s">
        <v>28</v>
      </c>
      <c r="G123" s="1233" t="s">
        <v>1944</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6087" customFormat="1" customHeight="1" ht="11.25">
      <c r="A125" s="1880" t="s">
        <v>1945</v>
      </c>
    </row>
    <row r="127" s="6516"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622</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6516" customFormat="1" customHeight="1" ht="15">
      <c r="A128" s="688"/>
      <c r="B128" s="689"/>
      <c r="C128" s="689"/>
      <c r="D128" s="2644"/>
      <c r="E128" s="2442" t="s">
        <v>577</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6516" customFormat="1" customHeight="1" ht="15">
      <c r="A129" s="688"/>
      <c r="B129" s="689"/>
      <c r="C129" s="689"/>
      <c r="D129" s="2644"/>
      <c r="E129" s="2442" t="s">
        <v>578</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6516" customFormat="1" customHeight="1" ht="24.75">
      <c r="A130" s="1871"/>
      <c r="B130" s="1225"/>
      <c r="C130" s="477"/>
      <c r="D130" s="2644"/>
      <c r="E130" s="2441" t="s">
        <v>623</v>
      </c>
      <c r="F130" s="2441"/>
      <c r="G130" s="2441"/>
      <c r="H130" s="2441"/>
      <c r="I130" s="2441"/>
      <c r="J130" s="2441"/>
      <c r="K130" s="2441"/>
      <c r="L130" s="2441"/>
      <c r="M130" s="2441"/>
      <c r="N130" s="2441"/>
      <c r="O130" s="2441"/>
      <c r="P130" s="2441"/>
      <c r="Q130" s="623">
        <f>SUMIF(T131:T132,"i",Q131:Q132)</f>
        <v>0</v>
      </c>
      <c r="R130" s="1082"/>
      <c r="S130" s="1863" t="s">
        <v>624</v>
      </c>
      <c r="T130" s="782" t="s">
        <v>625</v>
      </c>
      <c r="U130" s="2439">
        <v>1</v>
      </c>
      <c r="V130" s="2439" t="s">
        <v>588</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6516"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6516" customFormat="1" customHeight="1" ht="11.25">
      <c r="A132" s="1871"/>
      <c r="B132" s="1225"/>
      <c r="C132" s="477"/>
      <c r="D132" s="2644"/>
      <c r="E132" s="714" t="s">
        <v>28</v>
      </c>
      <c r="F132" s="1233" t="s">
        <v>28</v>
      </c>
      <c r="G132" s="1233" t="s">
        <v>1944</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6477"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625</v>
      </c>
      <c r="U133" s="2439">
        <v>1</v>
      </c>
      <c r="V133" s="2439" t="s">
        <v>588</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6477"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6477"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6087" customFormat="1" customHeight="1" ht="11.25">
      <c r="A137" s="1880" t="s">
        <v>1946</v>
      </c>
    </row>
    <row r="139" s="6516" customFormat="1" customHeight="1" ht="45">
      <c r="A139" s="1871"/>
      <c r="B139" s="1225"/>
      <c r="C139" s="477"/>
      <c r="D139" s="154"/>
      <c r="E139" s="2637"/>
      <c r="F139" s="2173" t="s">
        <v>112</v>
      </c>
      <c r="G139" s="2640" t="s">
        <v>28</v>
      </c>
      <c r="H139" s="354"/>
      <c r="I139" s="702" t="s">
        <v>112</v>
      </c>
      <c r="J139" s="1872" t="s">
        <v>1947</v>
      </c>
      <c r="K139" s="703" t="s">
        <v>559</v>
      </c>
      <c r="L139" s="2289" t="s">
        <v>559</v>
      </c>
      <c r="M139" s="2642"/>
      <c r="N139" s="703" t="s">
        <v>559</v>
      </c>
      <c r="O139" s="703" t="s">
        <v>559</v>
      </c>
      <c r="P139" s="703" t="s">
        <v>559</v>
      </c>
      <c r="Q139" s="704">
        <f>SUM(Q140:Q142)</f>
        <v>0</v>
      </c>
      <c r="R139" s="704">
        <f>IF(R136=0,0,(Q136/R136)*100)</f>
        <v>0</v>
      </c>
      <c r="S139" s="2244"/>
      <c r="T139" s="782" t="s">
        <v>625</v>
      </c>
      <c r="U139" s="154"/>
      <c r="V139" s="154"/>
      <c r="AC139" s="154"/>
    </row>
    <row s="6516" customFormat="1" customHeight="1" ht="11.25">
      <c r="A140" s="1871"/>
      <c r="B140" s="1225"/>
      <c r="C140" s="477"/>
      <c r="D140" s="154"/>
      <c r="E140" s="2638"/>
      <c r="F140" s="2173"/>
      <c r="G140" s="2640"/>
      <c r="H140" s="2192"/>
      <c r="I140" s="2580" t="s">
        <v>1034</v>
      </c>
      <c r="J140" s="2634"/>
      <c r="K140" s="2635"/>
      <c r="L140" s="705"/>
      <c r="M140" s="706" t="s">
        <v>112</v>
      </c>
      <c r="N140" s="1860"/>
      <c r="O140" s="707"/>
      <c r="P140" s="708"/>
      <c r="Q140" s="707"/>
      <c r="R140" s="709">
        <v>0</v>
      </c>
      <c r="S140" s="2244"/>
      <c r="T140" s="782"/>
      <c r="U140" s="154"/>
      <c r="V140" s="154"/>
      <c r="AC140" s="154"/>
    </row>
    <row s="6516" customFormat="1" customHeight="1" ht="11.25">
      <c r="A141" s="1871"/>
      <c r="B141" s="1225"/>
      <c r="C141" s="477"/>
      <c r="D141" s="154"/>
      <c r="E141" s="2638"/>
      <c r="F141" s="2173"/>
      <c r="G141" s="2640"/>
      <c r="H141" s="2192"/>
      <c r="I141" s="2580"/>
      <c r="J141" s="2634"/>
      <c r="K141" s="2636"/>
      <c r="L141" s="710"/>
      <c r="M141" s="711"/>
      <c r="N141" s="712" t="s">
        <v>1948</v>
      </c>
      <c r="O141" s="712"/>
      <c r="P141" s="712"/>
      <c r="Q141" s="712"/>
      <c r="R141" s="713"/>
      <c r="S141" s="2244"/>
      <c r="T141" s="782"/>
      <c r="U141" s="154"/>
      <c r="V141" s="154"/>
      <c r="AC141" s="154"/>
    </row>
    <row s="6516" customFormat="1" customHeight="1" ht="11.25">
      <c r="A142" s="1871"/>
      <c r="B142" s="1225"/>
      <c r="C142" s="477"/>
      <c r="D142" s="154"/>
      <c r="E142" s="2639"/>
      <c r="F142" s="2173"/>
      <c r="G142" s="2641"/>
      <c r="H142" s="710" t="s">
        <v>28</v>
      </c>
      <c r="I142" s="711"/>
      <c r="J142" s="712" t="s">
        <v>1949</v>
      </c>
      <c r="K142" s="712"/>
      <c r="L142" s="712"/>
      <c r="M142" s="712"/>
      <c r="N142" s="712"/>
      <c r="O142" s="712"/>
      <c r="P142" s="712"/>
      <c r="Q142" s="712"/>
      <c r="R142" s="713"/>
      <c r="S142" s="2244"/>
      <c r="T142" s="782"/>
      <c r="U142" s="154"/>
      <c r="V142" s="154"/>
      <c r="AC142" s="154"/>
    </row>
    <row r="147" s="6516" customFormat="1" customHeight="1" ht="11.25">
      <c r="A147" s="1871"/>
      <c r="B147" s="1225"/>
      <c r="C147" s="477"/>
      <c r="D147" s="154"/>
      <c r="E147" s="1895"/>
      <c r="F147" s="1895"/>
      <c r="G147" s="1895"/>
      <c r="H147" s="2192"/>
      <c r="I147" s="2580" t="s">
        <v>1034</v>
      </c>
      <c r="J147" s="2634"/>
      <c r="K147" s="2635"/>
      <c r="L147" s="705"/>
      <c r="M147" s="706" t="s">
        <v>112</v>
      </c>
      <c r="N147" s="1860"/>
      <c r="O147" s="707"/>
      <c r="P147" s="708"/>
      <c r="Q147" s="707"/>
      <c r="R147" s="709">
        <v>0</v>
      </c>
      <c r="S147" s="154"/>
      <c r="T147" s="782"/>
      <c r="U147" s="154"/>
      <c r="V147" s="154"/>
      <c r="AC147" s="154"/>
    </row>
    <row s="6516" customFormat="1" customHeight="1" ht="11.25">
      <c r="A148" s="1871"/>
      <c r="B148" s="1225"/>
      <c r="C148" s="477"/>
      <c r="D148" s="154"/>
      <c r="E148" s="1895"/>
      <c r="F148" s="1895"/>
      <c r="G148" s="1895"/>
      <c r="H148" s="2192"/>
      <c r="I148" s="2580"/>
      <c r="J148" s="2634"/>
      <c r="K148" s="2636"/>
      <c r="L148" s="710"/>
      <c r="M148" s="711"/>
      <c r="N148" s="712" t="s">
        <v>1948</v>
      </c>
      <c r="O148" s="712"/>
      <c r="P148" s="712"/>
      <c r="Q148" s="712"/>
      <c r="R148" s="713"/>
      <c r="S148" s="154"/>
      <c r="T148" s="782"/>
      <c r="U148" s="154"/>
      <c r="V148" s="154"/>
      <c r="AC148" s="154"/>
    </row>
    <row r="150" s="6516"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6087" customFormat="1" customHeight="1" ht="17.25">
      <c r="A152" s="1880" t="s">
        <v>1950</v>
      </c>
    </row>
    <row customHeight="1" ht="17.25">
      <c r="G153" s="1904"/>
      <c r="H153" s="1904"/>
      <c r="I153" s="1904"/>
      <c r="M153" s="1900"/>
    </row>
    <row s="6339" customFormat="1" customHeight="1" ht="17.25">
      <c r="A154" s="1905"/>
      <c r="C154" s="1907"/>
      <c r="D154" s="2594"/>
      <c r="E154" s="2208"/>
      <c r="F154" s="2210"/>
      <c r="G154" s="2596"/>
      <c r="H154" s="2594"/>
      <c r="I154" s="2594">
        <v>1</v>
      </c>
      <c r="J154" s="2566"/>
      <c r="K154" s="2250" t="s">
        <v>64</v>
      </c>
      <c r="L154" s="2173"/>
      <c r="M154" s="2173" t="s">
        <v>112</v>
      </c>
      <c r="N154" s="2569" t="str">
        <f>IF(Z154="","",INDEX(TERRITORY_MR_LIST,MATCH(Z154,TERRITORY_LIST_ID,0)))</f>
        <v/>
      </c>
      <c r="O154" s="2250" t="s">
        <v>64</v>
      </c>
      <c r="P154" s="2173"/>
      <c r="Q154" s="2173" t="s">
        <v>112</v>
      </c>
      <c r="R154" s="2567" t="s">
        <v>28</v>
      </c>
      <c r="S154" s="2172" t="s">
        <v>64</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6339"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170</v>
      </c>
      <c r="W155" s="384"/>
      <c r="Y155" s="1324"/>
      <c r="Z155" s="1324"/>
      <c r="AA155" s="1324"/>
      <c r="AB155" s="1324"/>
      <c r="AC155" s="1324"/>
      <c r="AD155" s="1324"/>
      <c r="AE155" s="1324"/>
      <c r="AF155" s="1324"/>
      <c r="AG155" s="1324"/>
      <c r="AH155" s="1324"/>
      <c r="AI155" s="1324"/>
      <c r="AJ155" s="1324"/>
      <c r="AK155" s="1324"/>
    </row>
    <row s="6339" customFormat="1" customHeight="1" ht="17.25">
      <c r="A156" s="1905"/>
      <c r="C156" s="1910"/>
      <c r="D156" s="2568"/>
      <c r="E156" s="2595"/>
      <c r="F156" s="2211"/>
      <c r="G156" s="2597"/>
      <c r="H156" s="2568"/>
      <c r="I156" s="2568"/>
      <c r="J156" s="2598"/>
      <c r="K156" s="2251"/>
      <c r="L156" s="2568"/>
      <c r="M156" s="2568"/>
      <c r="N156" s="2570"/>
      <c r="O156" s="2177"/>
      <c r="P156" s="382"/>
      <c r="Q156" s="383"/>
      <c r="R156" s="383" t="s">
        <v>171</v>
      </c>
      <c r="S156" s="1911"/>
      <c r="T156" s="1911"/>
      <c r="U156" s="1911"/>
      <c r="V156" s="1911"/>
      <c r="W156" s="384"/>
      <c r="Y156" s="1324"/>
      <c r="Z156" s="1324"/>
      <c r="AA156" s="1324"/>
      <c r="AB156" s="1324"/>
      <c r="AC156" s="1324"/>
      <c r="AD156" s="1324"/>
      <c r="AE156" s="1324"/>
      <c r="AF156" s="1324"/>
      <c r="AG156" s="1324"/>
      <c r="AH156" s="1324"/>
      <c r="AI156" s="1324"/>
      <c r="AJ156" s="1324"/>
      <c r="AK156" s="1324"/>
    </row>
    <row s="6339" customFormat="1" customHeight="1" ht="17.25">
      <c r="A157" s="1905"/>
      <c r="C157" s="1910"/>
      <c r="D157" s="2568"/>
      <c r="E157" s="2595"/>
      <c r="F157" s="2211"/>
      <c r="G157" s="2597"/>
      <c r="H157" s="2568"/>
      <c r="I157" s="2568"/>
      <c r="J157" s="2598"/>
      <c r="K157" s="2177"/>
      <c r="L157" s="382"/>
      <c r="M157" s="383"/>
      <c r="N157" s="383" t="s">
        <v>172</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6339" customFormat="1" customHeight="1" ht="17.25">
      <c r="A158" s="1905"/>
      <c r="C158" s="1910"/>
      <c r="D158" s="2568"/>
      <c r="E158" s="2595"/>
      <c r="F158" s="2212"/>
      <c r="G158" s="2597"/>
      <c r="H158" s="382"/>
      <c r="I158" s="383"/>
      <c r="J158" s="383" t="s">
        <v>173</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6339" customFormat="1" customHeight="1" ht="17.25">
      <c r="A160" s="1905"/>
      <c r="C160" s="1907"/>
      <c r="D160" s="1895"/>
      <c r="E160" s="1912"/>
      <c r="F160" s="1849"/>
      <c r="G160" s="1913"/>
      <c r="H160" s="2594"/>
      <c r="I160" s="2594">
        <v>1</v>
      </c>
      <c r="J160" s="2566"/>
      <c r="K160" s="2250" t="s">
        <v>64</v>
      </c>
      <c r="L160" s="2173"/>
      <c r="M160" s="2173" t="s">
        <v>112</v>
      </c>
      <c r="N160" s="2569" t="str">
        <f>IF(Z160="","",INDEX(TERRITORY_MR_LIST,MATCH(Z160,TERRITORY_LIST_ID,0)))</f>
        <v/>
      </c>
      <c r="O160" s="2250" t="s">
        <v>64</v>
      </c>
      <c r="P160" s="2173"/>
      <c r="Q160" s="2173" t="s">
        <v>112</v>
      </c>
      <c r="R160" s="2567" t="s">
        <v>28</v>
      </c>
      <c r="S160" s="2172" t="s">
        <v>64</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6339"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170</v>
      </c>
      <c r="W161" s="384"/>
      <c r="Y161" s="1324"/>
      <c r="Z161" s="1324"/>
      <c r="AA161" s="1324"/>
      <c r="AB161" s="1324"/>
      <c r="AC161" s="1324"/>
      <c r="AD161" s="1324"/>
      <c r="AE161" s="1324"/>
      <c r="AF161" s="1324"/>
      <c r="AG161" s="1324"/>
      <c r="AH161" s="1324"/>
      <c r="AI161" s="1324"/>
      <c r="AJ161" s="1324"/>
      <c r="AK161" s="1324"/>
    </row>
    <row s="6339" customFormat="1" customHeight="1" ht="17.25">
      <c r="A162" s="1905"/>
      <c r="C162" s="1910"/>
      <c r="D162" s="1895"/>
      <c r="E162" s="1912"/>
      <c r="F162" s="1849"/>
      <c r="G162" s="1913"/>
      <c r="H162" s="2568"/>
      <c r="I162" s="2568"/>
      <c r="J162" s="2598"/>
      <c r="K162" s="2251"/>
      <c r="L162" s="2568"/>
      <c r="M162" s="2568"/>
      <c r="N162" s="2570"/>
      <c r="O162" s="2177"/>
      <c r="P162" s="382"/>
      <c r="Q162" s="383"/>
      <c r="R162" s="383" t="s">
        <v>171</v>
      </c>
      <c r="S162" s="1911"/>
      <c r="T162" s="1911"/>
      <c r="U162" s="1911"/>
      <c r="V162" s="1911"/>
      <c r="W162" s="384"/>
      <c r="Y162" s="1324"/>
      <c r="Z162" s="1324"/>
      <c r="AA162" s="1324"/>
      <c r="AB162" s="1324"/>
      <c r="AC162" s="1324"/>
      <c r="AD162" s="1324"/>
      <c r="AE162" s="1324"/>
      <c r="AF162" s="1324"/>
      <c r="AG162" s="1324"/>
      <c r="AH162" s="1324"/>
      <c r="AI162" s="1324"/>
      <c r="AJ162" s="1324"/>
      <c r="AK162" s="1324"/>
    </row>
    <row s="6339" customFormat="1" customHeight="1" ht="17.25">
      <c r="A163" s="1905"/>
      <c r="C163" s="1910"/>
      <c r="D163" s="1895"/>
      <c r="E163" s="1912"/>
      <c r="F163" s="1849"/>
      <c r="G163" s="1913"/>
      <c r="H163" s="2568"/>
      <c r="I163" s="2568"/>
      <c r="J163" s="2598"/>
      <c r="K163" s="2177"/>
      <c r="L163" s="382"/>
      <c r="M163" s="383"/>
      <c r="N163" s="383" t="s">
        <v>172</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6339"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64</v>
      </c>
      <c r="P165" s="2173"/>
      <c r="Q165" s="2173" t="s">
        <v>112</v>
      </c>
      <c r="R165" s="2567" t="s">
        <v>28</v>
      </c>
      <c r="S165" s="2172" t="s">
        <v>64</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6339"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170</v>
      </c>
      <c r="W166" s="384"/>
      <c r="Y166" s="1324"/>
      <c r="Z166" s="1324"/>
      <c r="AA166" s="1324"/>
      <c r="AB166" s="1324"/>
      <c r="AC166" s="1324"/>
      <c r="AD166" s="1324"/>
      <c r="AE166" s="1324"/>
      <c r="AF166" s="1324"/>
      <c r="AG166" s="1324"/>
      <c r="AH166" s="1324"/>
      <c r="AI166" s="1324"/>
      <c r="AJ166" s="1324"/>
      <c r="AK166" s="1324"/>
    </row>
    <row s="6339" customFormat="1" customHeight="1" ht="17.25">
      <c r="A167" s="1905"/>
      <c r="C167" s="1910"/>
      <c r="D167" s="1895"/>
      <c r="E167" s="1912"/>
      <c r="F167" s="1849"/>
      <c r="G167" s="1913"/>
      <c r="H167" s="1895"/>
      <c r="I167" s="1895"/>
      <c r="J167" s="1914"/>
      <c r="K167" s="1825"/>
      <c r="L167" s="2568"/>
      <c r="M167" s="2568"/>
      <c r="N167" s="2570"/>
      <c r="O167" s="2177"/>
      <c r="P167" s="382"/>
      <c r="Q167" s="383"/>
      <c r="R167" s="383" t="s">
        <v>171</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6339"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64</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6339"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170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6339"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6087" customFormat="1" customHeight="1" ht="17.25">
      <c r="A174" s="1880" t="s">
        <v>1951</v>
      </c>
    </row>
    <row customHeight="1" ht="17.25">
      <c r="G175" s="1904"/>
      <c r="H175" s="1904"/>
      <c r="I175" s="1904"/>
      <c r="M175" s="1900"/>
    </row>
    <row s="6339" customFormat="1" customHeight="1" ht="17.25">
      <c r="A176" s="1905"/>
      <c r="C176" s="1907"/>
      <c r="D176" s="2594"/>
      <c r="E176" s="2208"/>
      <c r="F176" s="2210"/>
      <c r="G176" s="2596"/>
      <c r="H176" s="2594"/>
      <c r="I176" s="2594">
        <v>1</v>
      </c>
      <c r="J176" s="2566"/>
      <c r="K176" s="2250" t="s">
        <v>64</v>
      </c>
      <c r="L176" s="2173"/>
      <c r="M176" s="2173" t="s">
        <v>112</v>
      </c>
      <c r="N176" s="2569" t="str">
        <f>IF(Z176="","",INDEX(TERRITORY_MR_LIST,MATCH(Z176,TERRITORY_LIST_ID,0)))</f>
        <v/>
      </c>
      <c r="O176" s="2250" t="s">
        <v>64</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6339"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6339" customFormat="1" customHeight="1" ht="17.25">
      <c r="A178" s="1905"/>
      <c r="C178" s="1910"/>
      <c r="D178" s="2568"/>
      <c r="E178" s="2595"/>
      <c r="F178" s="2211"/>
      <c r="G178" s="2597"/>
      <c r="H178" s="2568"/>
      <c r="I178" s="2568"/>
      <c r="J178" s="2598"/>
      <c r="K178" s="2251"/>
      <c r="L178" s="2568"/>
      <c r="M178" s="2568"/>
      <c r="N178" s="2570"/>
      <c r="O178" s="2177"/>
      <c r="P178" s="382"/>
      <c r="Q178" s="383"/>
      <c r="R178" s="383" t="s">
        <v>171</v>
      </c>
      <c r="S178" s="1911"/>
      <c r="T178" s="1911"/>
      <c r="U178" s="1911"/>
      <c r="V178" s="1911"/>
      <c r="W178" s="1498"/>
      <c r="Y178" s="1324"/>
      <c r="Z178" s="1324"/>
      <c r="AA178" s="1324"/>
      <c r="AB178" s="1324"/>
      <c r="AC178" s="1324"/>
      <c r="AD178" s="1324"/>
      <c r="AE178" s="1324"/>
      <c r="AF178" s="1324"/>
      <c r="AG178" s="1324"/>
      <c r="AH178" s="1324"/>
      <c r="AI178" s="1324"/>
      <c r="AJ178" s="1324"/>
      <c r="AK178" s="1324"/>
    </row>
    <row s="6339" customFormat="1" customHeight="1" ht="17.25">
      <c r="A179" s="1905"/>
      <c r="C179" s="1910"/>
      <c r="D179" s="2568"/>
      <c r="E179" s="2595"/>
      <c r="F179" s="2211"/>
      <c r="G179" s="2597"/>
      <c r="H179" s="2568"/>
      <c r="I179" s="2568"/>
      <c r="J179" s="2598"/>
      <c r="K179" s="2177"/>
      <c r="L179" s="382"/>
      <c r="M179" s="383"/>
      <c r="N179" s="383" t="s">
        <v>172</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6339" customFormat="1" customHeight="1" ht="17.25">
      <c r="A180" s="1905"/>
      <c r="C180" s="1910"/>
      <c r="D180" s="2568"/>
      <c r="E180" s="2595"/>
      <c r="F180" s="2212"/>
      <c r="G180" s="2597"/>
      <c r="H180" s="382"/>
      <c r="I180" s="383"/>
      <c r="J180" s="383" t="s">
        <v>173</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6339" customFormat="1" customHeight="1" ht="17.25">
      <c r="A182" s="1905"/>
      <c r="C182" s="1907"/>
      <c r="D182" s="1895"/>
      <c r="E182" s="1912"/>
      <c r="F182" s="1849"/>
      <c r="G182" s="1913"/>
      <c r="H182" s="2594"/>
      <c r="I182" s="2594">
        <v>1</v>
      </c>
      <c r="J182" s="2566"/>
      <c r="K182" s="2250" t="s">
        <v>64</v>
      </c>
      <c r="L182" s="2173"/>
      <c r="M182" s="2173" t="s">
        <v>112</v>
      </c>
      <c r="N182" s="2569" t="str">
        <f>IF(Z182="","",INDEX(TERRITORY_MR_LIST,MATCH(Z182,TERRITORY_LIST_ID,0)))</f>
        <v/>
      </c>
      <c r="O182" s="2250" t="s">
        <v>64</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6339"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6339" customFormat="1" customHeight="1" ht="17.25">
      <c r="A184" s="1905"/>
      <c r="C184" s="1910"/>
      <c r="D184" s="1895"/>
      <c r="E184" s="1912"/>
      <c r="F184" s="1849"/>
      <c r="G184" s="1913"/>
      <c r="H184" s="2568"/>
      <c r="I184" s="2568"/>
      <c r="J184" s="2598"/>
      <c r="K184" s="2251"/>
      <c r="L184" s="2568"/>
      <c r="M184" s="2568"/>
      <c r="N184" s="2570"/>
      <c r="O184" s="2177"/>
      <c r="P184" s="382"/>
      <c r="Q184" s="383"/>
      <c r="R184" s="383" t="s">
        <v>171</v>
      </c>
      <c r="S184" s="1911"/>
      <c r="T184" s="1911"/>
      <c r="U184" s="1911"/>
      <c r="V184" s="1911"/>
      <c r="W184" s="1498"/>
      <c r="Y184" s="1324"/>
      <c r="Z184" s="1324"/>
      <c r="AA184" s="1324"/>
      <c r="AB184" s="1324"/>
      <c r="AC184" s="1324"/>
      <c r="AD184" s="1324"/>
      <c r="AE184" s="1324"/>
      <c r="AF184" s="1324"/>
      <c r="AG184" s="1324"/>
      <c r="AH184" s="1324"/>
      <c r="AI184" s="1324"/>
      <c r="AJ184" s="1324"/>
      <c r="AK184" s="1324"/>
    </row>
    <row s="6339" customFormat="1" customHeight="1" ht="17.25">
      <c r="A185" s="1905"/>
      <c r="C185" s="1910"/>
      <c r="D185" s="1895"/>
      <c r="E185" s="1912"/>
      <c r="F185" s="1849"/>
      <c r="G185" s="1913"/>
      <c r="H185" s="2568"/>
      <c r="I185" s="2568"/>
      <c r="J185" s="2598"/>
      <c r="K185" s="2177"/>
      <c r="L185" s="382"/>
      <c r="M185" s="383"/>
      <c r="N185" s="383" t="s">
        <v>172</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6339"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64</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6339"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6339" customFormat="1" customHeight="1" ht="17.25">
      <c r="A189" s="1905"/>
      <c r="C189" s="1910"/>
      <c r="D189" s="1895"/>
      <c r="E189" s="1912"/>
      <c r="F189" s="1849"/>
      <c r="G189" s="1913"/>
      <c r="H189" s="1895"/>
      <c r="I189" s="1895"/>
      <c r="J189" s="1916"/>
      <c r="K189" s="1913"/>
      <c r="L189" s="2568"/>
      <c r="M189" s="2568"/>
      <c r="N189" s="2570"/>
      <c r="O189" s="2177"/>
      <c r="P189" s="382"/>
      <c r="Q189" s="383"/>
      <c r="R189" s="383" t="s">
        <v>171</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6339"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6339"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6087" customFormat="1" customHeight="1" ht="17.25">
      <c r="A200" s="1880" t="s">
        <v>1952</v>
      </c>
    </row>
    <row customHeight="1" ht="17.25">
      <c r="G201" s="1904"/>
      <c r="H201" s="1904"/>
      <c r="I201" s="1904"/>
      <c r="M201" s="1900"/>
    </row>
    <row s="6516" customFormat="1" customHeight="1" ht="15">
      <c r="D202" s="2588"/>
      <c r="E202" s="2264"/>
      <c r="F202" s="2264"/>
      <c r="G202" s="2250"/>
      <c r="H202" s="1629"/>
      <c r="I202" s="2592">
        <v>1</v>
      </c>
      <c r="J202" s="2566"/>
      <c r="K202" s="1644"/>
      <c r="L202" s="2250" t="s">
        <v>64</v>
      </c>
      <c r="M202" s="2250" t="s">
        <v>64</v>
      </c>
      <c r="N202" s="1629"/>
      <c r="O202" s="2173" t="s">
        <v>112</v>
      </c>
      <c r="P202" s="2582"/>
      <c r="Q202" s="1645"/>
      <c r="R202" s="2250" t="s">
        <v>64</v>
      </c>
      <c r="S202" s="2250" t="s">
        <v>64</v>
      </c>
      <c r="T202" s="1920"/>
      <c r="U202" s="2173" t="s">
        <v>112</v>
      </c>
      <c r="V202" s="2589" t="str">
        <f>IF(AK202="","",INDEX(TERRITORY_MR_LIST,MATCH(AK202,TERRITORY_LIST_ID,0)))</f>
        <v/>
      </c>
      <c r="W202" s="1646"/>
      <c r="X202" s="2250" t="s">
        <v>64</v>
      </c>
      <c r="Y202" s="2250" t="s">
        <v>19</v>
      </c>
      <c r="Z202" s="1629"/>
      <c r="AA202" s="2173" t="s">
        <v>112</v>
      </c>
      <c r="AB202" s="2591"/>
      <c r="AC202" s="1647"/>
      <c r="AD202" s="2250" t="s">
        <v>64</v>
      </c>
      <c r="AE202" s="2250" t="s">
        <v>19</v>
      </c>
      <c r="AF202" s="1627"/>
      <c r="AG202" s="1876" t="s">
        <v>112</v>
      </c>
      <c r="AH202" s="1637"/>
      <c r="AI202" s="1866"/>
    </row>
    <row s="6516"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1953</v>
      </c>
      <c r="AI203" s="2584"/>
    </row>
    <row s="6516"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1954</v>
      </c>
      <c r="AC204" s="2585"/>
      <c r="AD204" s="2585"/>
      <c r="AE204" s="2585"/>
      <c r="AF204" s="2585"/>
      <c r="AG204" s="2585"/>
      <c r="AH204" s="2585"/>
      <c r="AI204" s="2586"/>
    </row>
    <row s="6516"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6516" customFormat="1" customHeight="1" ht="11.25">
      <c r="D206" s="2588"/>
      <c r="E206" s="2264"/>
      <c r="F206" s="2264"/>
      <c r="G206" s="2251"/>
      <c r="H206" s="1633"/>
      <c r="I206" s="2592"/>
      <c r="J206" s="2593"/>
      <c r="K206" s="1628"/>
      <c r="L206" s="2251"/>
      <c r="M206" s="2251"/>
      <c r="N206" s="1633"/>
      <c r="O206" s="1634"/>
      <c r="P206" s="2583" t="s">
        <v>1955</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340" customFormat="1" customHeight="1" ht="11.25">
      <c r="D207" s="2588"/>
      <c r="E207" s="2264"/>
      <c r="F207" s="2264"/>
      <c r="G207" s="2177"/>
      <c r="H207" s="1635"/>
      <c r="I207" s="1636"/>
      <c r="J207" s="2583" t="s">
        <v>173</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6516"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6516"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6516"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6516"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6516"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340"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F7F7-0C6D-2DF8-3C95-0.4F20C9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401" width="43.140625"/>
    <col min="2" max="2" style="6401" width="43.140625" hidden="1"/>
    <col min="3" max="3" style="6401" width="43.140625"/>
    <col min="4" max="5" style="6401" width="36.421875" customWidth="1"/>
    <col min="6" max="8" style="6402" width="36.421875" customWidth="1"/>
  </cols>
  <sheetData>
    <row customHeight="1" ht="9">
      <c r="A1" s="911" t="s">
        <v>1956</v>
      </c>
      <c r="B1" s="911"/>
      <c r="C1" s="1047" t="s">
        <v>1957</v>
      </c>
      <c r="D1" s="1045" t="s">
        <v>820</v>
      </c>
      <c r="E1" s="1045" t="s">
        <v>866</v>
      </c>
      <c r="F1" s="1045" t="s">
        <v>919</v>
      </c>
      <c r="G1" s="1045" t="s">
        <v>906</v>
      </c>
      <c r="H1" s="1045" t="s">
        <v>1632</v>
      </c>
    </row>
    <row customHeight="1" ht="9">
      <c r="A2" s="1048" t="s">
        <v>1958</v>
      </c>
      <c r="B2" s="1048"/>
      <c r="C2" s="1049" t="str">
        <f>INDEX(TEMPLATE_NUMBER_FORM_LIST,MATCH(TEMPLATE_SPHERE,TEMPLATE_SPHERE_LIST,0))</f>
        <v>16</v>
      </c>
      <c r="D2" s="1048" t="s">
        <v>1484</v>
      </c>
      <c r="E2" s="1048" t="s">
        <v>152</v>
      </c>
      <c r="F2" s="1050" t="s">
        <v>152</v>
      </c>
      <c r="G2" s="1048" t="s">
        <v>152</v>
      </c>
      <c r="H2" s="1051"/>
    </row>
    <row customHeight="1" ht="63">
      <c r="A3" s="911"/>
      <c r="B3" s="911" t="s">
        <v>112</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1959</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1960</v>
      </c>
      <c r="B4" s="911" t="s">
        <v>113</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1961</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1962</v>
      </c>
    </row>
    <row customHeight="1" ht="117">
      <c r="A5" s="911" t="s">
        <v>1963</v>
      </c>
      <c r="B5" s="911" t="s">
        <v>93</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1964</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1965</v>
      </c>
    </row>
    <row customHeight="1" ht="90">
      <c r="A6" s="911" t="s">
        <v>1966</v>
      </c>
      <c r="B6" s="911" t="s">
        <v>94</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1967</v>
      </c>
      <c r="B7" s="911" t="s">
        <v>114</v>
      </c>
      <c r="C7" s="1049" t="str">
        <f>IF(TEMPLATE_SPHERE="HEAT",D7,E7)</f>
        <v>Форма 11. Информация о расходах на капитальный и текущий ремонт основных средств</v>
      </c>
      <c r="D7" s="911" t="s">
        <v>1968</v>
      </c>
      <c r="E7" s="911" t="s">
        <v>1969</v>
      </c>
      <c r="F7" s="1051"/>
      <c r="G7" s="1051"/>
      <c r="H7" s="1051"/>
    </row>
    <row customHeight="1" ht="108">
      <c r="A8" s="911" t="s">
        <v>1970</v>
      </c>
      <c r="B8" s="911" t="s">
        <v>95</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1175</v>
      </c>
      <c r="E8" s="911" t="s">
        <v>1971</v>
      </c>
      <c r="F8" s="1051"/>
      <c r="G8" s="1051"/>
      <c r="H8" s="1051"/>
    </row>
    <row customHeight="1" ht="99">
      <c r="A9" s="911" t="s">
        <v>1972</v>
      </c>
      <c r="B9" s="911"/>
      <c r="C9" s="911" t="s">
        <v>1973</v>
      </c>
      <c r="D9" s="911"/>
      <c r="E9" s="911"/>
      <c r="F9" s="1051"/>
      <c r="G9" s="1051"/>
      <c r="H9" s="1051"/>
    </row>
    <row customHeight="1" ht="126">
      <c r="A10" s="911" t="s">
        <v>1974</v>
      </c>
      <c r="B10" s="911"/>
      <c r="C10" s="911" t="s">
        <v>1975</v>
      </c>
      <c r="D10" s="911"/>
      <c r="E10" s="911"/>
      <c r="F10" s="1051"/>
      <c r="G10" s="1051"/>
      <c r="H10" s="1051"/>
    </row>
    <row customHeight="1" ht="108">
      <c r="A11" s="911" t="s">
        <v>1976</v>
      </c>
      <c r="B11" s="911"/>
      <c r="C11" s="911" t="s">
        <v>1977</v>
      </c>
      <c r="D11" s="911"/>
      <c r="E11" s="911"/>
      <c r="F11" s="1051"/>
      <c r="G11" s="1051"/>
      <c r="H11" s="1051"/>
    </row>
    <row customHeight="1" ht="54">
      <c r="A12" s="911" t="s">
        <v>1978</v>
      </c>
      <c r="B12" s="911"/>
      <c r="C12" s="911" t="s">
        <v>1979</v>
      </c>
      <c r="D12" s="911"/>
      <c r="E12" s="911"/>
      <c r="F12" s="1051"/>
      <c r="G12" s="1051"/>
      <c r="H12" s="1051"/>
    </row>
    <row customHeight="1" ht="45">
      <c r="A13" s="911" t="s">
        <v>1980</v>
      </c>
      <c r="B13" s="911"/>
      <c r="C13" s="911" t="s">
        <v>1981</v>
      </c>
      <c r="D13" s="911"/>
      <c r="E13" s="911"/>
      <c r="F13" s="1051"/>
      <c r="G13" s="1051"/>
      <c r="H13" s="1051"/>
    </row>
    <row customHeight="1" ht="117">
      <c r="A14" s="911" t="s">
        <v>1982</v>
      </c>
      <c r="B14" s="911"/>
      <c r="C14" s="911" t="s">
        <v>1983</v>
      </c>
      <c r="D14" s="911"/>
      <c r="E14" s="911"/>
      <c r="F14" s="1051"/>
      <c r="G14" s="1051"/>
      <c r="H14" s="1051"/>
    </row>
    <row customHeight="1" ht="117">
      <c r="A15" s="911" t="s">
        <v>1984</v>
      </c>
      <c r="B15" s="911"/>
      <c r="C15" s="911" t="s">
        <v>1985</v>
      </c>
      <c r="D15" s="911"/>
      <c r="E15" s="911"/>
      <c r="F15" s="1051"/>
      <c r="G15" s="1051"/>
      <c r="H15" s="1051"/>
    </row>
    <row customHeight="1" ht="63">
      <c r="A16" s="911" t="s">
        <v>1986</v>
      </c>
      <c r="B16" s="911"/>
      <c r="C16" s="911" t="s">
        <v>1987</v>
      </c>
      <c r="D16" s="911"/>
      <c r="E16" s="911"/>
      <c r="F16" s="1051"/>
      <c r="G16" s="1051"/>
      <c r="H16" s="1051"/>
    </row>
    <row customHeight="1" ht="54">
      <c r="A17" s="911" t="s">
        <v>1988</v>
      </c>
      <c r="B17" s="911"/>
      <c r="C17" s="1049" t="s">
        <v>1989</v>
      </c>
      <c r="D17" s="911"/>
      <c r="E17" s="911"/>
      <c r="F17" s="1051"/>
      <c r="G17" s="1051"/>
      <c r="H17" s="1051"/>
    </row>
    <row customHeight="1" ht="27">
      <c r="A18" s="911" t="s">
        <v>1990</v>
      </c>
      <c r="B18" s="911"/>
      <c r="C18" s="1049" t="s">
        <v>1991</v>
      </c>
      <c r="D18" s="911"/>
      <c r="E18" s="911"/>
      <c r="F18" s="1051"/>
      <c r="G18" s="1051"/>
      <c r="H18" s="1051"/>
    </row>
    <row customHeight="1" ht="54">
      <c r="A19" s="911" t="s">
        <v>1992</v>
      </c>
      <c r="B19" s="911"/>
      <c r="C19" s="1049" t="s">
        <v>1993</v>
      </c>
      <c r="D19" s="911"/>
      <c r="E19" s="911"/>
      <c r="F19" s="1051"/>
      <c r="G19" s="1051"/>
      <c r="H19" s="1051"/>
    </row>
    <row customHeight="1" ht="36">
      <c r="A20" s="911" t="s">
        <v>1994</v>
      </c>
      <c r="B20" s="911"/>
      <c r="C20" s="1049" t="s">
        <v>1995</v>
      </c>
      <c r="D20" s="911"/>
      <c r="E20" s="911"/>
      <c r="F20" s="1051"/>
      <c r="G20" s="1051"/>
      <c r="H20" s="1051"/>
    </row>
    <row customHeight="1" ht="36">
      <c r="A21" s="911" t="s">
        <v>1996</v>
      </c>
      <c r="B21" s="911"/>
      <c r="C21" s="1049" t="s">
        <v>1997</v>
      </c>
      <c r="D21" s="911"/>
      <c r="E21" s="911"/>
      <c r="F21" s="1051"/>
      <c r="G21" s="1051"/>
      <c r="H21" s="1051"/>
    </row>
    <row customHeight="1" ht="27">
      <c r="A22" s="911" t="s">
        <v>1998</v>
      </c>
      <c r="B22" s="911"/>
      <c r="C22" s="1049" t="s">
        <v>1999</v>
      </c>
      <c r="D22" s="911"/>
      <c r="E22" s="911"/>
      <c r="F22" s="1051"/>
      <c r="G22" s="1051"/>
      <c r="H22" s="1051"/>
    </row>
    <row customHeight="1" ht="36">
      <c r="A23" s="911" t="s">
        <v>2000</v>
      </c>
      <c r="B23" s="911"/>
      <c r="C23" s="1049" t="s">
        <v>2001</v>
      </c>
      <c r="D23" s="911"/>
      <c r="E23" s="911"/>
      <c r="F23" s="1051"/>
      <c r="G23" s="1051"/>
      <c r="H23" s="1051"/>
    </row>
    <row customHeight="1" ht="28.5">
      <c r="A24" s="911" t="s">
        <v>2002</v>
      </c>
      <c r="B24" s="911"/>
      <c r="C24" s="1049" t="s">
        <v>2003</v>
      </c>
      <c r="D24" s="911"/>
      <c r="E24" s="911"/>
      <c r="F24" s="1051"/>
      <c r="G24" s="1051"/>
      <c r="H24" s="1051"/>
    </row>
    <row customHeight="1" ht="36">
      <c r="A25" s="911" t="s">
        <v>2004</v>
      </c>
      <c r="B25" s="911"/>
      <c r="C25" s="1049" t="s">
        <v>2005</v>
      </c>
      <c r="D25" s="911"/>
      <c r="E25" s="911"/>
      <c r="F25" s="1051"/>
      <c r="G25" s="1051"/>
      <c r="H25" s="1051"/>
    </row>
    <row customHeight="1" ht="27">
      <c r="A26" s="911" t="s">
        <v>2006</v>
      </c>
      <c r="B26" s="911"/>
      <c r="C26" s="1049" t="s">
        <v>2007</v>
      </c>
      <c r="D26" s="911"/>
      <c r="E26" s="911"/>
      <c r="F26" s="1051"/>
      <c r="G26" s="1051"/>
      <c r="H26" s="1051"/>
    </row>
    <row customHeight="1" ht="36">
      <c r="A27" s="911" t="s">
        <v>2008</v>
      </c>
      <c r="B27" s="911"/>
      <c r="C27" s="1049" t="s">
        <v>2009</v>
      </c>
      <c r="D27" s="911"/>
      <c r="E27" s="911"/>
      <c r="F27" s="1051"/>
      <c r="G27" s="1051"/>
      <c r="H27" s="1051"/>
    </row>
    <row customHeight="1" ht="28.5">
      <c r="A28" s="911" t="s">
        <v>2010</v>
      </c>
      <c r="B28" s="911"/>
      <c r="C28" s="1049" t="s">
        <v>2011</v>
      </c>
      <c r="D28" s="911"/>
      <c r="E28" s="911"/>
      <c r="F28" s="1051"/>
      <c r="G28" s="1051"/>
      <c r="H28" s="1051"/>
    </row>
    <row customHeight="1" ht="126">
      <c r="A29" s="911" t="s">
        <v>2012</v>
      </c>
      <c r="B29" s="911" t="s">
        <v>1585</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2013</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2014</v>
      </c>
    </row>
    <row customHeight="1" ht="36">
      <c r="A30" s="911" t="s">
        <v>2015</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2016</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2017</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2018</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2019</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2020</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2021</v>
      </c>
    </row>
    <row customHeight="1" ht="9">
      <c r="A33" s="911"/>
      <c r="B33" s="911"/>
      <c r="C33" s="1049"/>
      <c r="D33" s="911"/>
      <c r="E33" s="911"/>
      <c r="F33" s="1051"/>
      <c r="G33" s="1051"/>
      <c r="H33" s="1051"/>
    </row>
    <row customHeight="1" ht="9">
      <c r="A34" s="911"/>
      <c r="B34" s="911" t="s">
        <v>1522</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161096-6BB7-68D8-8D77-0.E9D27E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6401" width="9.140625"/>
    <col min="3" max="7" style="6445" width="8.00390625" customWidth="1"/>
    <col min="8" max="12" style="6445" width="8.57421875" customWidth="1"/>
    <col min="13" max="14" style="6445" width="27.7109375" customWidth="1"/>
    <col min="15" max="19" style="6445" width="5.140625" customWidth="1"/>
    <col min="20" max="24" style="6445" width="27.7109375" customWidth="1"/>
    <col min="25" max="25" style="6446" width="1.8515625" customWidth="1"/>
    <col min="26" max="26" style="6401" width="27.7109375" customWidth="1"/>
    <col min="27" max="27" style="6447" width="27.7109375" customWidth="1"/>
    <col min="28" max="29" style="6401" width="27.7109375" customWidth="1"/>
    <col min="30" max="30" style="6401" width="3.8515625" customWidth="1"/>
    <col min="31" max="34" style="6401" width="9.140625"/>
  </cols>
  <sheetData>
    <row s="6403" customFormat="1" customHeight="1" ht="18">
      <c r="A1" s="963"/>
      <c r="B1" s="963"/>
      <c r="C1" s="963" t="s">
        <v>2022</v>
      </c>
      <c r="D1" s="963"/>
      <c r="E1" s="963"/>
      <c r="F1" s="963"/>
      <c r="G1" s="963"/>
      <c r="H1" s="963" t="s">
        <v>2023</v>
      </c>
      <c r="I1" s="963"/>
      <c r="J1" s="963"/>
      <c r="K1" s="963"/>
      <c r="L1" s="963"/>
      <c r="M1" s="963" t="s">
        <v>2024</v>
      </c>
      <c r="N1" s="963" t="s">
        <v>2025</v>
      </c>
      <c r="O1" s="2657" t="s">
        <v>2026</v>
      </c>
      <c r="P1" s="2657"/>
      <c r="Q1" s="2657"/>
      <c r="R1" s="2657"/>
      <c r="S1" s="2657"/>
      <c r="T1" s="2657" t="s">
        <v>2024</v>
      </c>
      <c r="U1" s="2657"/>
      <c r="V1" s="2657"/>
      <c r="W1" s="2657"/>
      <c r="X1" s="2657"/>
      <c r="Y1" s="1064"/>
      <c r="Z1" s="2657" t="s">
        <v>2027</v>
      </c>
      <c r="AA1" s="2657"/>
      <c r="AB1" s="2657"/>
      <c r="AC1" s="2657"/>
      <c r="AD1" s="2657"/>
    </row>
    <row customHeight="1" ht="18">
      <c r="A2" s="911"/>
      <c r="B2" s="911"/>
      <c r="C2" s="906" t="s">
        <v>820</v>
      </c>
      <c r="D2" s="906" t="s">
        <v>866</v>
      </c>
      <c r="E2" s="906" t="s">
        <v>919</v>
      </c>
      <c r="F2" s="906" t="s">
        <v>906</v>
      </c>
      <c r="G2" s="906" t="s">
        <v>1632</v>
      </c>
      <c r="H2" s="908"/>
      <c r="I2" s="908"/>
      <c r="J2" s="908"/>
      <c r="K2" s="908"/>
      <c r="L2" s="908"/>
      <c r="M2" s="908"/>
      <c r="N2" s="908"/>
      <c r="O2" s="906" t="s">
        <v>820</v>
      </c>
      <c r="P2" s="906" t="s">
        <v>866</v>
      </c>
      <c r="Q2" s="906" t="s">
        <v>906</v>
      </c>
      <c r="R2" s="906" t="s">
        <v>919</v>
      </c>
      <c r="S2" s="906" t="s">
        <v>1632</v>
      </c>
      <c r="T2" s="906" t="s">
        <v>820</v>
      </c>
      <c r="U2" s="906" t="s">
        <v>866</v>
      </c>
      <c r="V2" s="906" t="s">
        <v>906</v>
      </c>
      <c r="W2" s="906" t="s">
        <v>919</v>
      </c>
      <c r="X2" s="906" t="s">
        <v>1632</v>
      </c>
      <c r="Y2" s="906"/>
      <c r="Z2" s="906" t="s">
        <v>820</v>
      </c>
      <c r="AA2" s="915" t="s">
        <v>866</v>
      </c>
      <c r="AB2" s="906" t="s">
        <v>906</v>
      </c>
      <c r="AC2" s="906" t="s">
        <v>919</v>
      </c>
      <c r="AD2" s="906" t="s">
        <v>1632</v>
      </c>
    </row>
    <row customHeight="1" ht="162">
      <c r="A3" s="910" t="s">
        <v>26</v>
      </c>
      <c r="B3" s="910"/>
      <c r="C3" s="2661" t="s">
        <v>2028</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2029</v>
      </c>
      <c r="AA3" s="908" t="s">
        <v>2030</v>
      </c>
      <c r="AB3" s="911" t="s">
        <v>2031</v>
      </c>
      <c r="AC3" s="911" t="s">
        <v>2032</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1572</v>
      </c>
      <c r="D11" s="2664" t="s">
        <v>1568</v>
      </c>
      <c r="E11" s="2664" t="s">
        <v>1665</v>
      </c>
      <c r="F11" s="2664" t="s">
        <v>2033</v>
      </c>
      <c r="G11" s="2664"/>
      <c r="H11" s="963" t="s">
        <v>2034</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2035</v>
      </c>
      <c r="U11" s="908" t="s">
        <v>2036</v>
      </c>
      <c r="V11" s="908"/>
      <c r="W11" s="908"/>
      <c r="X11" s="908"/>
      <c r="Y11" s="1065"/>
      <c r="Z11" s="911" t="s">
        <v>2037</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2038</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2039</v>
      </c>
      <c r="U12" s="908" t="s">
        <v>2040</v>
      </c>
      <c r="V12" s="908"/>
      <c r="W12" s="908"/>
      <c r="X12" s="908"/>
      <c r="Y12" s="1065"/>
      <c r="Z12" s="911" t="s">
        <v>2041</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2042</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2043</v>
      </c>
      <c r="U13" s="909" t="s">
        <v>2044</v>
      </c>
      <c r="V13" s="909"/>
      <c r="W13" s="909"/>
      <c r="X13" s="908"/>
      <c r="Y13" s="1065"/>
      <c r="Z13" s="911" t="s">
        <v>2045</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2046</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2047</v>
      </c>
      <c r="AA14" s="914" t="s">
        <v>2047</v>
      </c>
      <c r="AB14" s="911"/>
      <c r="AC14" s="911"/>
      <c r="AD14" s="911"/>
    </row>
    <row customHeight="1" ht="108">
      <c r="A15" s="2658"/>
      <c r="B15" s="964">
        <v>5</v>
      </c>
      <c r="C15" s="2665"/>
      <c r="D15" s="2665"/>
      <c r="E15" s="2665"/>
      <c r="F15" s="2665"/>
      <c r="G15" s="2665"/>
      <c r="H15" s="2659" t="s">
        <v>2048</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2049</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2050</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2050</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1668</v>
      </c>
      <c r="B18" s="964">
        <v>1</v>
      </c>
      <c r="C18" s="908" t="s">
        <v>2034</v>
      </c>
      <c r="D18" s="1032" t="s">
        <v>2034</v>
      </c>
      <c r="E18" s="908" t="s">
        <v>2034</v>
      </c>
      <c r="F18" s="908" t="s">
        <v>2034</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2051</v>
      </c>
      <c r="U18" s="911" t="s">
        <v>2052</v>
      </c>
      <c r="V18" s="911" t="s">
        <v>2053</v>
      </c>
      <c r="W18" s="911" t="s">
        <v>2054</v>
      </c>
      <c r="X18" s="908"/>
      <c r="Y18" s="1065"/>
      <c r="Z18" s="911" t="s">
        <v>2055</v>
      </c>
      <c r="AA18" s="914" t="s">
        <v>2056</v>
      </c>
      <c r="AB18" s="914" t="s">
        <v>2056</v>
      </c>
      <c r="AC18" s="914" t="s">
        <v>2056</v>
      </c>
      <c r="AD18" s="911"/>
    </row>
    <row customHeight="1" ht="36">
      <c r="A19" s="910"/>
      <c r="B19" s="964">
        <v>2</v>
      </c>
      <c r="C19" s="908" t="s">
        <v>2038</v>
      </c>
      <c r="D19" s="1032" t="s">
        <v>2038</v>
      </c>
      <c r="E19" s="908" t="s">
        <v>2038</v>
      </c>
      <c r="F19" s="908" t="s">
        <v>2038</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2057</v>
      </c>
      <c r="U19" s="911" t="s">
        <v>2058</v>
      </c>
      <c r="V19" s="911" t="s">
        <v>2059</v>
      </c>
      <c r="W19" s="911" t="s">
        <v>2060</v>
      </c>
      <c r="X19" s="908"/>
      <c r="Y19" s="1065"/>
      <c r="Z19" s="911" t="s">
        <v>2061</v>
      </c>
      <c r="AA19" s="914" t="s">
        <v>2061</v>
      </c>
      <c r="AB19" s="914" t="s">
        <v>2061</v>
      </c>
      <c r="AC19" s="914" t="s">
        <v>2061</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721</v>
      </c>
      <c r="P20" s="1022" t="s">
        <v>721</v>
      </c>
      <c r="Q20" s="1022" t="s">
        <v>721</v>
      </c>
      <c r="R20" s="1022" t="s">
        <v>721</v>
      </c>
      <c r="S20" s="1022"/>
      <c r="T20" s="1029" t="s">
        <v>2062</v>
      </c>
      <c r="U20" s="911" t="s">
        <v>2063</v>
      </c>
      <c r="V20" s="911" t="s">
        <v>2064</v>
      </c>
      <c r="W20" s="911" t="s">
        <v>2065</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316</v>
      </c>
      <c r="P21" s="1022"/>
      <c r="Q21" s="1022"/>
      <c r="R21" s="1022"/>
      <c r="S21" s="1022"/>
      <c r="T21" s="1029" t="s">
        <v>2066</v>
      </c>
      <c r="U21" s="911"/>
      <c r="V21" s="911"/>
      <c r="W21" s="911"/>
      <c r="X21" s="908"/>
      <c r="Y21" s="1065"/>
      <c r="Z21" s="911" t="s">
        <v>2067</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316</v>
      </c>
      <c r="R22" s="1022"/>
      <c r="S22" s="1022"/>
      <c r="T22" s="1029"/>
      <c r="U22" s="911"/>
      <c r="V22" s="911" t="s">
        <v>2068</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319</v>
      </c>
      <c r="R23" s="1022"/>
      <c r="S23" s="1022"/>
      <c r="T23" s="1029"/>
      <c r="U23" s="911"/>
      <c r="V23" s="911" t="s">
        <v>2069</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741</v>
      </c>
      <c r="R24" s="1022"/>
      <c r="S24" s="1022"/>
      <c r="T24" s="1029"/>
      <c r="U24" s="911"/>
      <c r="V24" s="911" t="s">
        <v>2070</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319</v>
      </c>
      <c r="P25" s="1022" t="s">
        <v>316</v>
      </c>
      <c r="Q25" s="1022" t="s">
        <v>748</v>
      </c>
      <c r="R25" s="1022" t="s">
        <v>316</v>
      </c>
      <c r="S25" s="1022"/>
      <c r="T25" s="1029" t="s">
        <v>2071</v>
      </c>
      <c r="U25" s="911" t="s">
        <v>2071</v>
      </c>
      <c r="V25" s="911" t="s">
        <v>2071</v>
      </c>
      <c r="W25" s="911" t="s">
        <v>2071</v>
      </c>
      <c r="X25" s="908"/>
      <c r="Y25" s="1065"/>
      <c r="Z25" s="911"/>
      <c r="AA25" s="914"/>
      <c r="AB25" s="911"/>
      <c r="AC25" s="911"/>
      <c r="AD25" s="911"/>
    </row>
    <row customHeight="1" ht="18">
      <c r="A26" s="910"/>
      <c r="B26" s="964">
        <v>9</v>
      </c>
      <c r="C26" s="908" t="s">
        <v>665</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737</v>
      </c>
      <c r="P26" s="1022" t="s">
        <v>731</v>
      </c>
      <c r="Q26" s="1022" t="s">
        <v>2072</v>
      </c>
      <c r="R26" s="1022" t="s">
        <v>731</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2073</v>
      </c>
      <c r="V26" s="1029" t="s">
        <v>2073</v>
      </c>
      <c r="W26" s="1029" t="s">
        <v>2073</v>
      </c>
      <c r="X26" s="908"/>
      <c r="Y26" s="1065"/>
      <c r="Z26" s="911"/>
      <c r="AA26" s="914"/>
      <c r="AB26" s="911"/>
      <c r="AC26" s="911"/>
      <c r="AD26" s="911"/>
    </row>
    <row customHeight="1" ht="18">
      <c r="A27" s="910"/>
      <c r="B27" s="964">
        <v>10</v>
      </c>
      <c r="C27" s="908" t="s">
        <v>669</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739</v>
      </c>
      <c r="P27" s="1022" t="s">
        <v>733</v>
      </c>
      <c r="Q27" s="1022" t="s">
        <v>2074</v>
      </c>
      <c r="R27" s="1022" t="s">
        <v>733</v>
      </c>
      <c r="S27" s="1022"/>
      <c r="T27" s="1029" t="s">
        <v>2075</v>
      </c>
      <c r="U27" s="1029" t="s">
        <v>2075</v>
      </c>
      <c r="V27" s="1029" t="s">
        <v>2075</v>
      </c>
      <c r="W27" s="1029" t="s">
        <v>2075</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741</v>
      </c>
      <c r="P28" s="1022"/>
      <c r="Q28" s="1022"/>
      <c r="R28" s="1022"/>
      <c r="S28" s="1022"/>
      <c r="T28" s="1029" t="s">
        <v>2076</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748</v>
      </c>
      <c r="P29" s="1022" t="s">
        <v>319</v>
      </c>
      <c r="Q29" s="1022"/>
      <c r="R29" s="1022" t="s">
        <v>319</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2077</v>
      </c>
      <c r="V29" s="911"/>
      <c r="W29" s="911" t="s">
        <v>2077</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750</v>
      </c>
      <c r="P30" s="1022" t="s">
        <v>741</v>
      </c>
      <c r="Q30" s="1022" t="s">
        <v>750</v>
      </c>
      <c r="R30" s="1022" t="s">
        <v>741</v>
      </c>
      <c r="S30" s="1022"/>
      <c r="T30" s="1029" t="s">
        <v>2078</v>
      </c>
      <c r="U30" s="911" t="s">
        <v>2078</v>
      </c>
      <c r="V30" s="911" t="s">
        <v>2078</v>
      </c>
      <c r="W30" s="911" t="s">
        <v>2078</v>
      </c>
      <c r="X30" s="908"/>
      <c r="Y30" s="1065"/>
      <c r="Z30" s="911"/>
      <c r="AA30" s="914" t="s">
        <v>2079</v>
      </c>
      <c r="AB30" s="914" t="s">
        <v>2079</v>
      </c>
      <c r="AC30" s="914" t="s">
        <v>2079</v>
      </c>
      <c r="AD30" s="911"/>
    </row>
    <row customHeight="1" ht="18">
      <c r="A31" s="910"/>
      <c r="B31" s="964">
        <v>14</v>
      </c>
      <c r="C31" s="908" t="s">
        <v>2080</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2081</v>
      </c>
      <c r="P31" s="1022" t="s">
        <v>744</v>
      </c>
      <c r="Q31" s="1022" t="s">
        <v>2081</v>
      </c>
      <c r="R31" s="1022" t="s">
        <v>744</v>
      </c>
      <c r="S31" s="1022"/>
      <c r="T31" s="1030" t="s">
        <v>2082</v>
      </c>
      <c r="U31" s="911" t="s">
        <v>2082</v>
      </c>
      <c r="V31" s="911" t="s">
        <v>2082</v>
      </c>
      <c r="W31" s="911" t="s">
        <v>2082</v>
      </c>
      <c r="X31" s="908"/>
      <c r="Y31" s="1065"/>
      <c r="Z31" s="911"/>
      <c r="AA31" s="914"/>
      <c r="AB31" s="914"/>
      <c r="AC31" s="914"/>
      <c r="AD31" s="911"/>
    </row>
    <row customHeight="1" ht="36">
      <c r="A32" s="910"/>
      <c r="B32" s="964">
        <v>15</v>
      </c>
      <c r="C32" s="908" t="s">
        <v>2083</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2084</v>
      </c>
      <c r="P32" s="1022" t="s">
        <v>746</v>
      </c>
      <c r="Q32" s="1022" t="s">
        <v>2084</v>
      </c>
      <c r="R32" s="1022" t="s">
        <v>746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2085</v>
      </c>
      <c r="V32" s="911" t="s">
        <v>2085</v>
      </c>
      <c r="W32" s="911" t="s">
        <v>2085</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752</v>
      </c>
      <c r="P33" s="1022" t="s">
        <v>748</v>
      </c>
      <c r="Q33" s="1022" t="s">
        <v>752</v>
      </c>
      <c r="R33" s="1022" t="s">
        <v>748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2086</v>
      </c>
      <c r="V33" s="911" t="s">
        <v>2086</v>
      </c>
      <c r="W33" s="911" t="s">
        <v>2087</v>
      </c>
      <c r="X33" s="908"/>
      <c r="Y33" s="1065"/>
      <c r="Z33" s="911"/>
      <c r="AA33" s="914" t="s">
        <v>2088</v>
      </c>
      <c r="AB33" s="914" t="s">
        <v>2088</v>
      </c>
      <c r="AC33" s="914" t="s">
        <v>2088</v>
      </c>
      <c r="AD33" s="911"/>
    </row>
    <row customHeight="1" ht="27">
      <c r="A34" s="910"/>
      <c r="B34" s="964">
        <v>17</v>
      </c>
      <c r="C34" s="908" t="s">
        <v>2089</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2090</v>
      </c>
      <c r="P34" s="1022" t="s">
        <v>2072</v>
      </c>
      <c r="Q34" s="1022" t="s">
        <v>2090</v>
      </c>
      <c r="R34" s="1022" t="s">
        <v>2072</v>
      </c>
      <c r="S34" s="1022"/>
      <c r="T34" s="1031" t="s">
        <v>2091</v>
      </c>
      <c r="U34" s="911" t="s">
        <v>2091</v>
      </c>
      <c r="V34" s="911" t="s">
        <v>2091</v>
      </c>
      <c r="W34" s="911" t="s">
        <v>2092</v>
      </c>
      <c r="X34" s="908"/>
      <c r="Y34" s="1065"/>
      <c r="Z34" s="911"/>
      <c r="AA34" s="914"/>
      <c r="AB34" s="911"/>
      <c r="AC34" s="911"/>
      <c r="AD34" s="911"/>
    </row>
    <row customHeight="1" ht="45">
      <c r="A35" s="910"/>
      <c r="B35" s="964">
        <v>18</v>
      </c>
      <c r="C35" s="908" t="s">
        <v>2093</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2094</v>
      </c>
      <c r="P35" s="1022" t="s">
        <v>2074</v>
      </c>
      <c r="Q35" s="1022" t="s">
        <v>2094</v>
      </c>
      <c r="R35" s="1022" t="s">
        <v>2074</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2095</v>
      </c>
      <c r="V35" s="911" t="s">
        <v>2095</v>
      </c>
      <c r="W35" s="911" t="s">
        <v>2095</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754</v>
      </c>
      <c r="P36" s="1022" t="s">
        <v>750</v>
      </c>
      <c r="Q36" s="1022" t="s">
        <v>754</v>
      </c>
      <c r="R36" s="1022" t="s">
        <v>750</v>
      </c>
      <c r="S36" s="1022"/>
      <c r="T36" s="1029" t="s">
        <v>2096</v>
      </c>
      <c r="U36" s="911" t="s">
        <v>2096</v>
      </c>
      <c r="V36" s="911" t="s">
        <v>2096</v>
      </c>
      <c r="W36" s="911" t="s">
        <v>2096</v>
      </c>
      <c r="X36" s="908"/>
      <c r="Y36" s="1065"/>
      <c r="Z36" s="911"/>
      <c r="AA36" s="914"/>
      <c r="AB36" s="911"/>
      <c r="AC36" s="911"/>
      <c r="AD36" s="911"/>
    </row>
    <row customHeight="1" ht="18">
      <c r="A37" s="910"/>
      <c r="B37" s="964">
        <v>20</v>
      </c>
      <c r="C37" s="908" t="s">
        <v>2097</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2098</v>
      </c>
      <c r="P37" s="1022" t="s">
        <v>2081</v>
      </c>
      <c r="Q37" s="1022" t="s">
        <v>2098</v>
      </c>
      <c r="R37" s="1022" t="s">
        <v>2081</v>
      </c>
      <c r="S37" s="1022"/>
      <c r="T37" s="1029" t="s">
        <v>2099</v>
      </c>
      <c r="U37" s="911" t="s">
        <v>2099</v>
      </c>
      <c r="V37" s="911" t="s">
        <v>2099</v>
      </c>
      <c r="W37" s="911" t="s">
        <v>2099</v>
      </c>
      <c r="X37" s="908"/>
      <c r="Y37" s="1065"/>
      <c r="Z37" s="911"/>
      <c r="AA37" s="914"/>
      <c r="AB37" s="911"/>
      <c r="AC37" s="911"/>
      <c r="AD37" s="911"/>
    </row>
    <row customHeight="1" ht="18">
      <c r="A38" s="910"/>
      <c r="B38" s="964">
        <v>21</v>
      </c>
      <c r="C38" s="908" t="s">
        <v>2100</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2101</v>
      </c>
      <c r="P38" s="1022" t="s">
        <v>2084</v>
      </c>
      <c r="Q38" s="1022" t="s">
        <v>2101</v>
      </c>
      <c r="R38" s="1022" t="s">
        <v>2084</v>
      </c>
      <c r="S38" s="1022"/>
      <c r="T38" s="1029" t="s">
        <v>2102</v>
      </c>
      <c r="U38" s="911" t="s">
        <v>2102</v>
      </c>
      <c r="V38" s="911" t="s">
        <v>2102</v>
      </c>
      <c r="W38" s="911" t="s">
        <v>2102</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758</v>
      </c>
      <c r="P39" s="1022" t="s">
        <v>752</v>
      </c>
      <c r="Q39" s="1022" t="s">
        <v>758</v>
      </c>
      <c r="R39" s="1022" t="s">
        <v>752</v>
      </c>
      <c r="S39" s="1022"/>
      <c r="T39" s="1029" t="s">
        <v>2103</v>
      </c>
      <c r="U39" s="911" t="s">
        <v>2104</v>
      </c>
      <c r="V39" s="911" t="s">
        <v>2105</v>
      </c>
      <c r="W39" s="911" t="s">
        <v>2106</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2107</v>
      </c>
      <c r="P40" s="1022" t="s">
        <v>754</v>
      </c>
      <c r="Q40" s="1022" t="s">
        <v>2107</v>
      </c>
      <c r="R40" s="1022" t="s">
        <v>754</v>
      </c>
      <c r="S40" s="1022"/>
      <c r="T40" s="908" t="s">
        <v>2108</v>
      </c>
      <c r="U40" s="908" t="s">
        <v>2108</v>
      </c>
      <c r="V40" s="908" t="s">
        <v>2108</v>
      </c>
      <c r="W40" s="908" t="s">
        <v>2108</v>
      </c>
      <c r="X40" s="908"/>
      <c r="Y40" s="1065"/>
      <c r="Z40" s="911" t="s">
        <v>2109</v>
      </c>
      <c r="AA40" s="914" t="s">
        <v>2109</v>
      </c>
      <c r="AB40" s="914" t="s">
        <v>2109</v>
      </c>
      <c r="AC40" s="914" t="s">
        <v>2109</v>
      </c>
      <c r="AD40" s="911"/>
    </row>
    <row customHeight="1" ht="27">
      <c r="A41" s="910"/>
      <c r="B41" s="964">
        <v>24</v>
      </c>
      <c r="C41" s="908" t="s">
        <v>2110</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2111</v>
      </c>
      <c r="P41" s="1022" t="s">
        <v>2098</v>
      </c>
      <c r="Q41" s="1022" t="s">
        <v>2111</v>
      </c>
      <c r="R41" s="1022" t="s">
        <v>2098</v>
      </c>
      <c r="S41" s="1022"/>
      <c r="T41" s="908" t="s">
        <v>2112</v>
      </c>
      <c r="U41" s="908" t="s">
        <v>2112</v>
      </c>
      <c r="V41" s="908" t="s">
        <v>2112</v>
      </c>
      <c r="W41" s="908" t="s">
        <v>2112</v>
      </c>
      <c r="X41" s="908"/>
      <c r="Y41" s="1065"/>
      <c r="Z41" s="911" t="s">
        <v>2113</v>
      </c>
      <c r="AA41" s="911" t="s">
        <v>2113</v>
      </c>
      <c r="AB41" s="911" t="s">
        <v>2113</v>
      </c>
      <c r="AC41" s="911" t="s">
        <v>2113</v>
      </c>
      <c r="AD41" s="911"/>
    </row>
    <row customHeight="1" ht="27">
      <c r="A42" s="910"/>
      <c r="B42" s="964">
        <v>25</v>
      </c>
      <c r="C42" s="908" t="s">
        <v>2114</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2115</v>
      </c>
      <c r="P42" s="1022" t="s">
        <v>2101</v>
      </c>
      <c r="Q42" s="1022" t="s">
        <v>2115</v>
      </c>
      <c r="R42" s="1022" t="s">
        <v>2101</v>
      </c>
      <c r="S42" s="1022"/>
      <c r="T42" s="908" t="s">
        <v>2116</v>
      </c>
      <c r="U42" s="908" t="s">
        <v>2116</v>
      </c>
      <c r="V42" s="908" t="s">
        <v>2116</v>
      </c>
      <c r="W42" s="908" t="s">
        <v>2116</v>
      </c>
      <c r="X42" s="908"/>
      <c r="Y42" s="1065"/>
      <c r="Z42" s="911" t="s">
        <v>2117</v>
      </c>
      <c r="AA42" s="911" t="s">
        <v>2117</v>
      </c>
      <c r="AB42" s="911" t="s">
        <v>2117</v>
      </c>
      <c r="AC42" s="911" t="s">
        <v>2117</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2118</v>
      </c>
      <c r="P43" s="1022" t="s">
        <v>758</v>
      </c>
      <c r="Q43" s="1022" t="s">
        <v>2118</v>
      </c>
      <c r="R43" s="1022" t="s">
        <v>758</v>
      </c>
      <c r="S43" s="1022"/>
      <c r="T43" s="908" t="s">
        <v>2119</v>
      </c>
      <c r="U43" s="908" t="s">
        <v>2119</v>
      </c>
      <c r="V43" s="908" t="s">
        <v>2119</v>
      </c>
      <c r="W43" s="908" t="s">
        <v>2119</v>
      </c>
      <c r="X43" s="908"/>
      <c r="Y43" s="1065"/>
      <c r="Z43" s="911" t="s">
        <v>2120</v>
      </c>
      <c r="AA43" s="911" t="s">
        <v>2120</v>
      </c>
      <c r="AB43" s="911" t="s">
        <v>2120</v>
      </c>
      <c r="AC43" s="911" t="s">
        <v>2120</v>
      </c>
      <c r="AD43" s="911"/>
    </row>
    <row customHeight="1" ht="27">
      <c r="A44" s="910"/>
      <c r="B44" s="964">
        <v>27</v>
      </c>
      <c r="C44" s="908" t="s">
        <v>2121</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2122</v>
      </c>
      <c r="P44" s="1022" t="s">
        <v>2123</v>
      </c>
      <c r="Q44" s="1022" t="s">
        <v>2122</v>
      </c>
      <c r="R44" s="1022" t="s">
        <v>2123</v>
      </c>
      <c r="S44" s="1022"/>
      <c r="T44" s="908" t="s">
        <v>2112</v>
      </c>
      <c r="U44" s="908" t="s">
        <v>2112</v>
      </c>
      <c r="V44" s="908" t="s">
        <v>2112</v>
      </c>
      <c r="W44" s="908" t="s">
        <v>2112</v>
      </c>
      <c r="X44" s="908"/>
      <c r="Y44" s="1065"/>
      <c r="Z44" s="911" t="s">
        <v>2124</v>
      </c>
      <c r="AA44" s="911" t="s">
        <v>2124</v>
      </c>
      <c r="AB44" s="911" t="s">
        <v>2124</v>
      </c>
      <c r="AC44" s="911" t="s">
        <v>2124</v>
      </c>
      <c r="AD44" s="911"/>
    </row>
    <row customHeight="1" ht="27">
      <c r="A45" s="910"/>
      <c r="B45" s="964">
        <v>28</v>
      </c>
      <c r="C45" s="908" t="s">
        <v>2125</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2126</v>
      </c>
      <c r="P45" s="1022" t="s">
        <v>2127</v>
      </c>
      <c r="Q45" s="1022" t="s">
        <v>2126</v>
      </c>
      <c r="R45" s="1022" t="s">
        <v>2127</v>
      </c>
      <c r="S45" s="1022"/>
      <c r="T45" s="908" t="s">
        <v>2116</v>
      </c>
      <c r="U45" s="908" t="s">
        <v>2116</v>
      </c>
      <c r="V45" s="908" t="s">
        <v>2116</v>
      </c>
      <c r="W45" s="908" t="s">
        <v>2116</v>
      </c>
      <c r="X45" s="908"/>
      <c r="Y45" s="1065"/>
      <c r="Z45" s="911" t="s">
        <v>2128</v>
      </c>
      <c r="AA45" s="911" t="s">
        <v>2128</v>
      </c>
      <c r="AB45" s="911" t="s">
        <v>2128</v>
      </c>
      <c r="AC45" s="911" t="s">
        <v>2128</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2129</v>
      </c>
      <c r="P46" s="1022" t="s">
        <v>2107</v>
      </c>
      <c r="Q46" s="1022" t="s">
        <v>2129</v>
      </c>
      <c r="R46" s="1022" t="s">
        <v>2107</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2130</v>
      </c>
      <c r="V46" s="908" t="s">
        <v>2130</v>
      </c>
      <c r="W46" s="908" t="s">
        <v>2130</v>
      </c>
      <c r="X46" s="908"/>
      <c r="Y46" s="1065"/>
      <c r="Z46" s="911" t="s">
        <v>2131</v>
      </c>
      <c r="AA46" s="911" t="s">
        <v>2132</v>
      </c>
      <c r="AB46" s="911" t="s">
        <v>2132</v>
      </c>
      <c r="AC46" s="911" t="s">
        <v>2132</v>
      </c>
      <c r="AD46" s="911"/>
    </row>
    <row customHeight="1" ht="54">
      <c r="A47" s="910"/>
      <c r="B47" s="964">
        <v>30</v>
      </c>
      <c r="C47" s="908" t="s">
        <v>2133</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2134</v>
      </c>
      <c r="P47" s="1022" t="s">
        <v>2111</v>
      </c>
      <c r="Q47" s="1022" t="s">
        <v>2134</v>
      </c>
      <c r="R47" s="1022" t="s">
        <v>2111</v>
      </c>
      <c r="S47" s="1022"/>
      <c r="T47" s="908" t="s">
        <v>2135</v>
      </c>
      <c r="U47" s="908" t="s">
        <v>2135</v>
      </c>
      <c r="V47" s="908" t="s">
        <v>2135</v>
      </c>
      <c r="W47" s="908" t="s">
        <v>2135</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2118</v>
      </c>
      <c r="Q48" s="1022" t="s">
        <v>2136</v>
      </c>
      <c r="R48" s="1022" t="s">
        <v>2118</v>
      </c>
      <c r="S48" s="1022"/>
      <c r="T48" s="908"/>
      <c r="U48" s="908" t="s">
        <v>2137</v>
      </c>
      <c r="V48" s="908" t="s">
        <v>2138</v>
      </c>
      <c r="W48" s="908" t="s">
        <v>2138</v>
      </c>
      <c r="X48" s="908"/>
      <c r="Y48" s="1065"/>
      <c r="Z48" s="911"/>
      <c r="AA48" s="914" t="s">
        <v>2132</v>
      </c>
      <c r="AB48" s="914" t="s">
        <v>2132</v>
      </c>
      <c r="AC48" s="914" t="s">
        <v>2132</v>
      </c>
      <c r="AD48" s="911"/>
    </row>
    <row customHeight="1" ht="54">
      <c r="A49" s="910"/>
      <c r="B49" s="964">
        <v>32</v>
      </c>
      <c r="C49" s="908" t="s">
        <v>2139</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2122</v>
      </c>
      <c r="Q49" s="1022" t="s">
        <v>2140</v>
      </c>
      <c r="R49" s="1022" t="s">
        <v>2122</v>
      </c>
      <c r="S49" s="1022"/>
      <c r="T49" s="908"/>
      <c r="U49" s="908" t="s">
        <v>2135</v>
      </c>
      <c r="V49" s="908" t="s">
        <v>2135</v>
      </c>
      <c r="W49" s="908" t="s">
        <v>2135</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2136</v>
      </c>
      <c r="P50" s="1022" t="s">
        <v>2129</v>
      </c>
      <c r="Q50" s="1022" t="s">
        <v>2141</v>
      </c>
      <c r="R50" s="1022" t="s">
        <v>2129</v>
      </c>
      <c r="S50" s="1022"/>
      <c r="T50" s="908" t="s">
        <v>2142</v>
      </c>
      <c r="U50" s="908" t="s">
        <v>2143</v>
      </c>
      <c r="V50" s="908" t="s">
        <v>2144</v>
      </c>
      <c r="W50" s="908" t="s">
        <v>2145</v>
      </c>
      <c r="X50" s="908"/>
      <c r="Y50" s="1065"/>
      <c r="Z50" s="911" t="s">
        <v>2146</v>
      </c>
      <c r="AA50" s="914" t="s">
        <v>2147</v>
      </c>
      <c r="AB50" s="914" t="s">
        <v>2147</v>
      </c>
      <c r="AC50" s="914" t="s">
        <v>2147</v>
      </c>
      <c r="AD50" s="911"/>
    </row>
    <row customHeight="1" ht="27">
      <c r="A51" s="910"/>
      <c r="B51" s="964">
        <v>34</v>
      </c>
      <c r="C51" s="908" t="s">
        <v>2148</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93</v>
      </c>
      <c r="P51" s="1022"/>
      <c r="Q51" s="1022"/>
      <c r="R51" s="1022"/>
      <c r="S51" s="1022"/>
      <c r="T51" s="908" t="s">
        <v>2149</v>
      </c>
      <c r="U51" s="908"/>
      <c r="V51" s="908"/>
      <c r="W51" s="908"/>
      <c r="X51" s="908"/>
      <c r="Y51" s="1065"/>
      <c r="Z51" s="911"/>
      <c r="AA51" s="914"/>
      <c r="AB51" s="914"/>
      <c r="AC51" s="914"/>
      <c r="AD51" s="911"/>
    </row>
    <row customHeight="1" ht="36">
      <c r="A52" s="910"/>
      <c r="B52" s="964">
        <v>35</v>
      </c>
      <c r="C52" s="908" t="s">
        <v>2042</v>
      </c>
      <c r="D52" s="1032" t="s">
        <v>2042</v>
      </c>
      <c r="E52" s="908" t="s">
        <v>2042</v>
      </c>
      <c r="F52" s="908" t="s">
        <v>2042</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2150</v>
      </c>
      <c r="U52" s="908" t="s">
        <v>2151</v>
      </c>
      <c r="V52" s="908" t="s">
        <v>2152</v>
      </c>
      <c r="W52" s="908" t="s">
        <v>2153</v>
      </c>
      <c r="X52" s="908"/>
      <c r="Y52" s="1065"/>
      <c r="Z52" s="911" t="s">
        <v>762</v>
      </c>
      <c r="AA52" s="914" t="s">
        <v>762</v>
      </c>
      <c r="AB52" s="914" t="s">
        <v>762</v>
      </c>
      <c r="AC52" s="914" t="s">
        <v>762</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766</v>
      </c>
      <c r="P53" s="1022" t="s">
        <v>333</v>
      </c>
      <c r="Q53" s="1022" t="s">
        <v>333</v>
      </c>
      <c r="R53" s="1022" t="s">
        <v>333</v>
      </c>
      <c r="S53" s="1022"/>
      <c r="T53" s="908" t="s">
        <v>2154</v>
      </c>
      <c r="U53" s="908" t="s">
        <v>2154</v>
      </c>
      <c r="V53" s="908" t="s">
        <v>2154</v>
      </c>
      <c r="W53" s="908" t="s">
        <v>2154</v>
      </c>
      <c r="X53" s="908"/>
      <c r="Y53" s="1065"/>
      <c r="Z53" s="911"/>
      <c r="AA53" s="914"/>
      <c r="AB53" s="911"/>
      <c r="AC53" s="911"/>
      <c r="AD53" s="911"/>
    </row>
    <row customHeight="1" ht="18">
      <c r="A54" s="910"/>
      <c r="B54" s="964">
        <v>37</v>
      </c>
      <c r="C54" s="908" t="s">
        <v>2048</v>
      </c>
      <c r="D54" s="1032" t="s">
        <v>2048</v>
      </c>
      <c r="E54" s="908" t="s">
        <v>2048</v>
      </c>
      <c r="F54" s="908" t="s">
        <v>2048</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94</v>
      </c>
      <c r="Q54" s="1022" t="s">
        <v>94</v>
      </c>
      <c r="R54" s="1022" t="s">
        <v>94</v>
      </c>
      <c r="S54" s="1022"/>
      <c r="T54" s="908" t="s">
        <v>764</v>
      </c>
      <c r="U54" s="908" t="s">
        <v>764</v>
      </c>
      <c r="V54" s="908" t="s">
        <v>764</v>
      </c>
      <c r="W54" s="908" t="s">
        <v>764</v>
      </c>
      <c r="X54" s="908"/>
      <c r="Y54" s="1065"/>
      <c r="Z54" s="911" t="s">
        <v>765</v>
      </c>
      <c r="AA54" s="911" t="s">
        <v>765</v>
      </c>
      <c r="AB54" s="911" t="s">
        <v>765</v>
      </c>
      <c r="AC54" s="911" t="s">
        <v>765</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322</v>
      </c>
      <c r="P55" s="1022" t="s">
        <v>766</v>
      </c>
      <c r="Q55" s="1022" t="s">
        <v>766</v>
      </c>
      <c r="R55" s="1022" t="s">
        <v>766</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2155</v>
      </c>
      <c r="V55" s="908" t="s">
        <v>2155</v>
      </c>
      <c r="W55" s="908" t="s">
        <v>2155</v>
      </c>
      <c r="X55" s="908"/>
      <c r="Y55" s="1065"/>
      <c r="Z55" s="911" t="s">
        <v>2156</v>
      </c>
      <c r="AA55" s="911" t="s">
        <v>2156</v>
      </c>
      <c r="AB55" s="911" t="s">
        <v>2156</v>
      </c>
      <c r="AC55" s="911" t="s">
        <v>2156</v>
      </c>
      <c r="AD55" s="911"/>
    </row>
    <row customHeight="1" ht="27">
      <c r="A56" s="910"/>
      <c r="B56" s="964">
        <v>39</v>
      </c>
      <c r="C56" s="908" t="s">
        <v>1034</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1156</v>
      </c>
      <c r="P56" s="1022" t="s">
        <v>769</v>
      </c>
      <c r="Q56" s="1022" t="s">
        <v>769</v>
      </c>
      <c r="R56" s="1022" t="s">
        <v>769</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2157</v>
      </c>
      <c r="V56" s="908" t="s">
        <v>2157</v>
      </c>
      <c r="W56" s="908" t="s">
        <v>2157</v>
      </c>
      <c r="X56" s="908"/>
      <c r="Y56" s="1065"/>
      <c r="Z56" s="911" t="s">
        <v>771</v>
      </c>
      <c r="AA56" s="911" t="s">
        <v>771</v>
      </c>
      <c r="AB56" s="911" t="s">
        <v>771</v>
      </c>
      <c r="AC56" s="911" t="s">
        <v>771</v>
      </c>
      <c r="AD56" s="911"/>
    </row>
    <row customHeight="1" ht="27">
      <c r="A57" s="910"/>
      <c r="B57" s="964">
        <v>40</v>
      </c>
      <c r="C57" s="908" t="s">
        <v>1036</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2158</v>
      </c>
      <c r="P57" s="1022" t="s">
        <v>772</v>
      </c>
      <c r="Q57" s="1022" t="s">
        <v>772</v>
      </c>
      <c r="R57" s="1022" t="s">
        <v>772</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2159</v>
      </c>
      <c r="V57" s="908" t="s">
        <v>2159</v>
      </c>
      <c r="W57" s="908" t="s">
        <v>2159</v>
      </c>
      <c r="X57" s="908"/>
      <c r="Y57" s="1065"/>
      <c r="Z57" s="911" t="s">
        <v>774</v>
      </c>
      <c r="AA57" s="911" t="s">
        <v>774</v>
      </c>
      <c r="AB57" s="911" t="s">
        <v>774</v>
      </c>
      <c r="AC57" s="911" t="s">
        <v>774</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894</v>
      </c>
      <c r="P58" s="1022" t="s">
        <v>808</v>
      </c>
      <c r="Q58" s="1022" t="s">
        <v>808</v>
      </c>
      <c r="R58" s="1022" t="s">
        <v>808</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2160</v>
      </c>
      <c r="V58" s="908" t="s">
        <v>2160</v>
      </c>
      <c r="W58" s="908" t="s">
        <v>2160</v>
      </c>
      <c r="X58" s="908"/>
      <c r="Y58" s="1065"/>
      <c r="Z58" s="911"/>
      <c r="AA58" s="914"/>
      <c r="AB58" s="911"/>
      <c r="AC58" s="911"/>
      <c r="AD58" s="911"/>
    </row>
    <row customHeight="1" ht="36">
      <c r="A59" s="910"/>
      <c r="B59" s="964">
        <v>42</v>
      </c>
      <c r="C59" s="908">
        <v>3</v>
      </c>
      <c r="D59" s="1032" t="s">
        <v>2148</v>
      </c>
      <c r="E59" s="908" t="s">
        <v>2148</v>
      </c>
      <c r="F59" s="908" t="s">
        <v>2148</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114</v>
      </c>
      <c r="Q59" s="1022" t="s">
        <v>114</v>
      </c>
      <c r="R59" s="1022" t="s">
        <v>114</v>
      </c>
      <c r="S59" s="1022"/>
      <c r="T59" s="908"/>
      <c r="U59" s="908" t="s">
        <v>2161</v>
      </c>
      <c r="V59" s="908" t="s">
        <v>2162</v>
      </c>
      <c r="W59" s="908" t="s">
        <v>2163</v>
      </c>
      <c r="X59" s="908"/>
      <c r="Y59" s="1065"/>
      <c r="Z59" s="911"/>
      <c r="AA59" s="914"/>
      <c r="AB59" s="911"/>
      <c r="AC59" s="911"/>
      <c r="AD59" s="911"/>
    </row>
    <row customHeight="1" ht="81">
      <c r="A60" s="910"/>
      <c r="B60" s="964">
        <v>43</v>
      </c>
      <c r="C60" s="908" t="s">
        <v>2164</v>
      </c>
      <c r="D60" s="1032" t="s">
        <v>2164</v>
      </c>
      <c r="E60" s="908" t="s">
        <v>2164</v>
      </c>
      <c r="F60" s="908" t="s">
        <v>2164</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95</v>
      </c>
      <c r="P60" s="1022" t="s">
        <v>95</v>
      </c>
      <c r="Q60" s="1022" t="s">
        <v>95</v>
      </c>
      <c r="R60" s="1022" t="s">
        <v>95</v>
      </c>
      <c r="S60" s="1022"/>
      <c r="T60" s="908" t="s">
        <v>642</v>
      </c>
      <c r="U60" s="908" t="s">
        <v>642</v>
      </c>
      <c r="V60" s="908" t="s">
        <v>642</v>
      </c>
      <c r="W60" s="908" t="s">
        <v>642</v>
      </c>
      <c r="X60" s="908"/>
      <c r="Y60" s="1065"/>
      <c r="Z60" s="911" t="s">
        <v>2165</v>
      </c>
      <c r="AA60" s="914" t="s">
        <v>2166</v>
      </c>
      <c r="AB60" s="911" t="s">
        <v>2167</v>
      </c>
      <c r="AC60" s="911" t="s">
        <v>2166</v>
      </c>
      <c r="AD60" s="911"/>
    </row>
    <row customHeight="1" ht="9">
      <c r="A61" s="910"/>
      <c r="B61" s="964">
        <v>44</v>
      </c>
      <c r="C61" s="908"/>
      <c r="D61" s="1032" t="s">
        <v>2168</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2169</v>
      </c>
      <c r="V61" s="908"/>
      <c r="W61" s="908"/>
      <c r="X61" s="908"/>
      <c r="Y61" s="1065"/>
      <c r="Z61" s="911"/>
      <c r="AA61" s="914"/>
      <c r="AB61" s="911"/>
      <c r="AC61" s="911"/>
      <c r="AD61" s="911"/>
    </row>
    <row customHeight="1" ht="9">
      <c r="A62" s="910"/>
      <c r="B62" s="964">
        <v>45</v>
      </c>
      <c r="C62" s="908"/>
      <c r="D62" s="1032" t="s">
        <v>2170</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115</v>
      </c>
      <c r="Q62" s="1022"/>
      <c r="R62" s="1022"/>
      <c r="S62" s="1022"/>
      <c r="T62" s="908"/>
      <c r="U62" s="908" t="s">
        <v>2171</v>
      </c>
      <c r="V62" s="908"/>
      <c r="W62" s="908"/>
      <c r="X62" s="908"/>
      <c r="Y62" s="1065"/>
      <c r="Z62" s="911"/>
      <c r="AA62" s="914"/>
      <c r="AB62" s="911"/>
      <c r="AC62" s="911"/>
      <c r="AD62" s="911"/>
    </row>
    <row customHeight="1" ht="18">
      <c r="A63" s="910"/>
      <c r="B63" s="964">
        <v>46</v>
      </c>
      <c r="C63" s="908"/>
      <c r="D63" s="1032" t="s">
        <v>2172</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151</v>
      </c>
      <c r="Q63" s="1022"/>
      <c r="R63" s="1022"/>
      <c r="S63" s="1022"/>
      <c r="T63" s="908"/>
      <c r="U63" s="908" t="s">
        <v>2173</v>
      </c>
      <c r="V63" s="908"/>
      <c r="W63" s="908"/>
      <c r="X63" s="908"/>
      <c r="Y63" s="1065"/>
      <c r="Z63" s="911"/>
      <c r="AA63" s="914"/>
      <c r="AB63" s="911"/>
      <c r="AC63" s="911"/>
      <c r="AD63" s="911"/>
    </row>
    <row customHeight="1" ht="18">
      <c r="A64" s="910"/>
      <c r="B64" s="964">
        <v>47</v>
      </c>
      <c r="C64" s="908"/>
      <c r="D64" s="1032" t="s">
        <v>2174</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152</v>
      </c>
      <c r="Q64" s="1022"/>
      <c r="R64" s="1022"/>
      <c r="S64" s="1022"/>
      <c r="T64" s="908"/>
      <c r="U64" s="908" t="s">
        <v>2175</v>
      </c>
      <c r="V64" s="908"/>
      <c r="W64" s="908"/>
      <c r="X64" s="908"/>
      <c r="Y64" s="1065"/>
      <c r="Z64" s="911"/>
      <c r="AA64" s="914" t="s">
        <v>2176</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2089</v>
      </c>
      <c r="Q65" s="1022"/>
      <c r="R65" s="1022"/>
      <c r="S65" s="1022"/>
      <c r="T65" s="908"/>
      <c r="U65" s="908" t="s">
        <v>2177</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2093</v>
      </c>
      <c r="Q66" s="1022"/>
      <c r="R66" s="1022"/>
      <c r="S66" s="1022"/>
      <c r="T66" s="908"/>
      <c r="U66" s="908" t="s">
        <v>2178</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2179</v>
      </c>
      <c r="Q67" s="1022"/>
      <c r="R67" s="1022"/>
      <c r="S67" s="1022"/>
      <c r="T67" s="908"/>
      <c r="U67" s="908" t="s">
        <v>2180</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2181</v>
      </c>
      <c r="Q68" s="1022"/>
      <c r="R68" s="1022"/>
      <c r="S68" s="1022"/>
      <c r="T68" s="908"/>
      <c r="U68" s="908" t="s">
        <v>2182</v>
      </c>
      <c r="V68" s="908"/>
      <c r="W68" s="908"/>
      <c r="X68" s="908"/>
      <c r="Y68" s="1065"/>
      <c r="Z68" s="911"/>
      <c r="AA68" s="914"/>
      <c r="AB68" s="911"/>
      <c r="AC68" s="911"/>
      <c r="AD68" s="911"/>
    </row>
    <row customHeight="1" ht="9">
      <c r="A69" s="910"/>
      <c r="B69" s="964">
        <v>52</v>
      </c>
      <c r="C69" s="908"/>
      <c r="D69" s="1032" t="s">
        <v>2183</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153</v>
      </c>
      <c r="Q69" s="1022"/>
      <c r="R69" s="1022"/>
      <c r="S69" s="1022"/>
      <c r="T69" s="908"/>
      <c r="U69" s="908" t="s">
        <v>2184</v>
      </c>
      <c r="V69" s="908"/>
      <c r="W69" s="908"/>
      <c r="X69" s="908"/>
      <c r="Y69" s="1065"/>
      <c r="Z69" s="911"/>
      <c r="AA69" s="914"/>
      <c r="AB69" s="911"/>
      <c r="AC69" s="911"/>
      <c r="AD69" s="911"/>
    </row>
    <row customHeight="1" ht="27">
      <c r="A70" s="910"/>
      <c r="B70" s="964">
        <v>53</v>
      </c>
      <c r="C70" s="908"/>
      <c r="D70" s="1032"/>
      <c r="E70" s="908" t="s">
        <v>2168</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96</v>
      </c>
      <c r="R70" s="1022"/>
      <c r="S70" s="1022"/>
      <c r="T70" s="908"/>
      <c r="U70" s="908"/>
      <c r="V70" s="908" t="s">
        <v>2185</v>
      </c>
      <c r="W70" s="908"/>
      <c r="X70" s="908"/>
      <c r="Y70" s="1065"/>
      <c r="Z70" s="911"/>
      <c r="AA70" s="914"/>
      <c r="AB70" s="911"/>
      <c r="AC70" s="911"/>
      <c r="AD70" s="911"/>
    </row>
    <row customHeight="1" ht="36">
      <c r="A71" s="910"/>
      <c r="B71" s="964">
        <v>54</v>
      </c>
      <c r="C71" s="908"/>
      <c r="D71" s="1032"/>
      <c r="E71" s="908" t="s">
        <v>2170</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115</v>
      </c>
      <c r="R71" s="1022"/>
      <c r="S71" s="1022"/>
      <c r="T71" s="908"/>
      <c r="U71" s="908"/>
      <c r="V71" s="908" t="s">
        <v>2186</v>
      </c>
      <c r="W71" s="908"/>
      <c r="X71" s="908"/>
      <c r="Y71" s="1065"/>
      <c r="Z71" s="911"/>
      <c r="AA71" s="914"/>
      <c r="AB71" s="911"/>
      <c r="AC71" s="911"/>
      <c r="AD71" s="911"/>
    </row>
    <row customHeight="1" ht="27">
      <c r="A72" s="910"/>
      <c r="B72" s="964">
        <v>55</v>
      </c>
      <c r="C72" s="908"/>
      <c r="D72" s="1032"/>
      <c r="E72" s="908" t="s">
        <v>2172</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151</v>
      </c>
      <c r="R72" s="1022"/>
      <c r="S72" s="1022"/>
      <c r="T72" s="908"/>
      <c r="U72" s="908"/>
      <c r="V72" s="908" t="s">
        <v>2187</v>
      </c>
      <c r="W72" s="908"/>
      <c r="X72" s="908"/>
      <c r="Y72" s="1065"/>
      <c r="Z72" s="911"/>
      <c r="AA72" s="914"/>
      <c r="AB72" s="911"/>
      <c r="AC72" s="911"/>
      <c r="AD72" s="911"/>
    </row>
    <row customHeight="1" ht="36">
      <c r="A73" s="910"/>
      <c r="B73" s="964">
        <v>56</v>
      </c>
      <c r="C73" s="908"/>
      <c r="D73" s="1032"/>
      <c r="E73" s="908" t="s">
        <v>2174</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152</v>
      </c>
      <c r="R73" s="1022"/>
      <c r="S73" s="1022"/>
      <c r="T73" s="908"/>
      <c r="U73" s="908"/>
      <c r="V73" s="908" t="s">
        <v>2188</v>
      </c>
      <c r="W73" s="908"/>
      <c r="X73" s="908"/>
      <c r="Y73" s="1065"/>
      <c r="Z73" s="911"/>
      <c r="AA73" s="914"/>
      <c r="AB73" s="911"/>
      <c r="AC73" s="911"/>
      <c r="AD73" s="911"/>
    </row>
    <row customHeight="1" ht="18">
      <c r="A74" s="910"/>
      <c r="B74" s="964">
        <v>57</v>
      </c>
      <c r="C74" s="908"/>
      <c r="D74" s="1032"/>
      <c r="E74" s="908" t="s">
        <v>2183</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153</v>
      </c>
      <c r="R74" s="1022"/>
      <c r="S74" s="1022"/>
      <c r="T74" s="908"/>
      <c r="U74" s="908"/>
      <c r="V74" s="908" t="s">
        <v>2189</v>
      </c>
      <c r="W74" s="908"/>
      <c r="X74" s="908"/>
      <c r="Y74" s="1065"/>
      <c r="Z74" s="911"/>
      <c r="AA74" s="914"/>
      <c r="AB74" s="911"/>
      <c r="AC74" s="911"/>
      <c r="AD74" s="911"/>
    </row>
    <row customHeight="1" ht="18">
      <c r="A75" s="910"/>
      <c r="B75" s="964">
        <v>58</v>
      </c>
      <c r="C75" s="908"/>
      <c r="D75" s="1032"/>
      <c r="E75" s="908"/>
      <c r="F75" s="908" t="s">
        <v>2168</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2190</v>
      </c>
      <c r="X75" s="908"/>
      <c r="Y75" s="1065"/>
      <c r="Z75" s="911"/>
      <c r="AA75" s="914"/>
      <c r="AB75" s="911"/>
      <c r="AC75" s="911"/>
      <c r="AD75" s="911"/>
    </row>
    <row customHeight="1" ht="36">
      <c r="A76" s="910"/>
      <c r="B76" s="964">
        <v>59</v>
      </c>
      <c r="C76" s="908"/>
      <c r="D76" s="1032"/>
      <c r="E76" s="908"/>
      <c r="F76" s="908" t="s">
        <v>2170</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115</v>
      </c>
      <c r="S76" s="1022"/>
      <c r="T76" s="908"/>
      <c r="U76" s="908"/>
      <c r="V76" s="908"/>
      <c r="W76" s="908" t="s">
        <v>2191</v>
      </c>
      <c r="X76" s="908"/>
      <c r="Y76" s="1065"/>
      <c r="Z76" s="911"/>
      <c r="AA76" s="914"/>
      <c r="AB76" s="911"/>
      <c r="AC76" s="911"/>
      <c r="AD76" s="911"/>
    </row>
    <row customHeight="1" ht="18">
      <c r="A77" s="910"/>
      <c r="B77" s="964">
        <v>60</v>
      </c>
      <c r="C77" s="908"/>
      <c r="D77" s="1032"/>
      <c r="E77" s="908"/>
      <c r="F77" s="908" t="s">
        <v>2172</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151</v>
      </c>
      <c r="S77" s="1022"/>
      <c r="T77" s="908"/>
      <c r="U77" s="908"/>
      <c r="V77" s="908"/>
      <c r="W77" s="908" t="s">
        <v>2192</v>
      </c>
      <c r="X77" s="908"/>
      <c r="Y77" s="1065"/>
      <c r="Z77" s="911"/>
      <c r="AA77" s="914"/>
      <c r="AB77" s="911"/>
      <c r="AC77" s="911"/>
      <c r="AD77" s="911"/>
    </row>
    <row customHeight="1" ht="72">
      <c r="A78" s="910"/>
      <c r="B78" s="964">
        <v>61</v>
      </c>
      <c r="C78" s="908" t="s">
        <v>2168</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96</v>
      </c>
      <c r="P78" s="1022"/>
      <c r="Q78" s="1022"/>
      <c r="R78" s="1022"/>
      <c r="S78" s="1022"/>
      <c r="T78" s="908" t="s">
        <v>647</v>
      </c>
      <c r="U78" s="908"/>
      <c r="V78" s="908"/>
      <c r="W78" s="908"/>
      <c r="X78" s="908"/>
      <c r="Y78" s="1065"/>
      <c r="Z78" s="911" t="s">
        <v>2193</v>
      </c>
      <c r="AA78" s="914"/>
      <c r="AB78" s="911"/>
      <c r="AC78" s="911"/>
      <c r="AD78" s="911"/>
    </row>
    <row customHeight="1" ht="36">
      <c r="A79" s="910"/>
      <c r="B79" s="964">
        <v>62</v>
      </c>
      <c r="C79" s="908" t="s">
        <v>2170</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115</v>
      </c>
      <c r="P79" s="1022"/>
      <c r="Q79" s="1022"/>
      <c r="R79" s="1022"/>
      <c r="S79" s="1022"/>
      <c r="T79" s="908" t="s">
        <v>2194</v>
      </c>
      <c r="U79" s="908"/>
      <c r="V79" s="908"/>
      <c r="W79" s="908"/>
      <c r="X79" s="908"/>
      <c r="Y79" s="1065"/>
      <c r="Z79" s="911" t="s">
        <v>2195</v>
      </c>
      <c r="AA79" s="914"/>
      <c r="AB79" s="911"/>
      <c r="AC79" s="911"/>
      <c r="AD79" s="911"/>
    </row>
    <row customHeight="1" ht="45">
      <c r="A80" s="910"/>
      <c r="B80" s="964">
        <v>63</v>
      </c>
      <c r="C80" s="908" t="s">
        <v>2172</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151</v>
      </c>
      <c r="P80" s="1022"/>
      <c r="Q80" s="1022"/>
      <c r="R80" s="1022"/>
      <c r="S80" s="1022"/>
      <c r="T80" s="908" t="s">
        <v>2196</v>
      </c>
      <c r="U80" s="908"/>
      <c r="V80" s="908"/>
      <c r="W80" s="908"/>
      <c r="X80" s="908"/>
      <c r="Y80" s="1065"/>
      <c r="Z80" s="911" t="s">
        <v>2197</v>
      </c>
      <c r="AA80" s="914"/>
      <c r="AB80" s="911"/>
      <c r="AC80" s="911"/>
      <c r="AD80" s="911"/>
    </row>
    <row customHeight="1" ht="36">
      <c r="A81" s="910"/>
      <c r="B81" s="964">
        <v>64</v>
      </c>
      <c r="C81" s="908" t="s">
        <v>2174</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2080</v>
      </c>
      <c r="P81" s="1022"/>
      <c r="Q81" s="1022"/>
      <c r="R81" s="1022"/>
      <c r="S81" s="1022"/>
      <c r="T81" s="908" t="s">
        <v>2198</v>
      </c>
      <c r="U81" s="908"/>
      <c r="V81" s="908"/>
      <c r="W81" s="908"/>
      <c r="X81" s="908"/>
      <c r="Y81" s="1065"/>
      <c r="Z81" s="911" t="s">
        <v>2199</v>
      </c>
      <c r="AA81" s="914"/>
      <c r="AB81" s="911"/>
      <c r="AC81" s="911"/>
      <c r="AD81" s="911"/>
    </row>
    <row customHeight="1" ht="90">
      <c r="A82" s="910"/>
      <c r="B82" s="964">
        <v>65</v>
      </c>
      <c r="C82" s="908" t="s">
        <v>2183</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152</v>
      </c>
      <c r="P82" s="1022"/>
      <c r="Q82" s="1022"/>
      <c r="R82" s="1022"/>
      <c r="S82" s="1022"/>
      <c r="T82" s="908" t="s">
        <v>2200</v>
      </c>
      <c r="U82" s="908"/>
      <c r="V82" s="908"/>
      <c r="W82" s="908"/>
      <c r="X82" s="908"/>
      <c r="Y82" s="1065"/>
      <c r="Z82" s="911" t="s">
        <v>2201</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2089</v>
      </c>
      <c r="P83" s="1022"/>
      <c r="Q83" s="1022"/>
      <c r="R83" s="1022"/>
      <c r="S83" s="1022"/>
      <c r="T83" s="908" t="s">
        <v>2202</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2203</v>
      </c>
      <c r="P84" s="1022"/>
      <c r="Q84" s="1022"/>
      <c r="R84" s="1022"/>
      <c r="S84" s="1022"/>
      <c r="T84" s="908" t="s">
        <v>2204</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2093</v>
      </c>
      <c r="P85" s="1022"/>
      <c r="Q85" s="1022"/>
      <c r="R85" s="1022"/>
      <c r="S85" s="1022"/>
      <c r="T85" s="908" t="s">
        <v>2205</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2206</v>
      </c>
      <c r="P86" s="1022"/>
      <c r="Q86" s="1022"/>
      <c r="R86" s="1022"/>
      <c r="S86" s="1022"/>
      <c r="T86" s="908" t="s">
        <v>2207</v>
      </c>
      <c r="U86" s="908"/>
      <c r="V86" s="908"/>
      <c r="W86" s="908"/>
      <c r="X86" s="908"/>
      <c r="Y86" s="1065"/>
      <c r="Z86" s="911"/>
      <c r="AA86" s="914"/>
      <c r="AB86" s="911"/>
      <c r="AC86" s="911"/>
      <c r="AD86" s="911"/>
    </row>
    <row customHeight="1" ht="36">
      <c r="A87" s="910"/>
      <c r="B87" s="964">
        <v>70</v>
      </c>
      <c r="C87" s="908" t="s">
        <v>2208</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153</v>
      </c>
      <c r="P87" s="1022"/>
      <c r="Q87" s="1022"/>
      <c r="R87" s="1022"/>
      <c r="S87" s="1022"/>
      <c r="T87" s="908" t="s">
        <v>2209</v>
      </c>
      <c r="U87" s="908"/>
      <c r="V87" s="908"/>
      <c r="W87" s="908"/>
      <c r="X87" s="908"/>
      <c r="Y87" s="1065"/>
      <c r="Z87" s="911"/>
      <c r="AA87" s="914"/>
      <c r="AB87" s="911"/>
      <c r="AC87" s="911"/>
      <c r="AD87" s="911"/>
    </row>
    <row customHeight="1" ht="18">
      <c r="A88" s="910"/>
      <c r="B88" s="964">
        <v>71</v>
      </c>
      <c r="C88" s="908" t="s">
        <v>2210</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154</v>
      </c>
      <c r="P88" s="1022"/>
      <c r="Q88" s="1022"/>
      <c r="R88" s="1022"/>
      <c r="S88" s="1022"/>
      <c r="T88" s="908" t="s">
        <v>679</v>
      </c>
      <c r="U88" s="908"/>
      <c r="V88" s="908"/>
      <c r="W88" s="908"/>
      <c r="X88" s="908"/>
      <c r="Y88" s="1065"/>
      <c r="Z88" s="911"/>
      <c r="AA88" s="914"/>
      <c r="AB88" s="911"/>
      <c r="AC88" s="911"/>
      <c r="AD88" s="911"/>
    </row>
    <row customHeight="1" ht="18">
      <c r="A89" s="910"/>
      <c r="B89" s="964">
        <v>72</v>
      </c>
      <c r="C89" s="908" t="s">
        <v>2211</v>
      </c>
      <c r="D89" s="1032" t="s">
        <v>2208</v>
      </c>
      <c r="E89" s="908" t="s">
        <v>2208</v>
      </c>
      <c r="F89" s="908" t="s">
        <v>2174</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687</v>
      </c>
      <c r="U89" s="908" t="s">
        <v>687</v>
      </c>
      <c r="V89" s="908" t="s">
        <v>687</v>
      </c>
      <c r="W89" s="908" t="s">
        <v>687</v>
      </c>
      <c r="X89" s="908"/>
      <c r="Y89" s="1065"/>
      <c r="Z89" s="911"/>
      <c r="AA89" s="914"/>
      <c r="AB89" s="911"/>
      <c r="AC89" s="911"/>
      <c r="AD89" s="911"/>
    </row>
    <row customHeight="1" ht="27">
      <c r="A90" s="910"/>
      <c r="B90" s="964">
        <v>73</v>
      </c>
      <c r="C90" s="908" t="s">
        <v>2212</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156</v>
      </c>
      <c r="P90" s="1022"/>
      <c r="Q90" s="1022"/>
      <c r="R90" s="1022"/>
      <c r="S90" s="1022"/>
      <c r="T90" s="908" t="s">
        <v>689</v>
      </c>
      <c r="U90" s="908"/>
      <c r="V90" s="908"/>
      <c r="W90" s="908"/>
      <c r="X90" s="908"/>
      <c r="Y90" s="1065"/>
      <c r="Z90" s="911"/>
      <c r="AA90" s="914"/>
      <c r="AB90" s="911"/>
      <c r="AC90" s="911"/>
      <c r="AD90" s="911"/>
    </row>
    <row customHeight="1" ht="18">
      <c r="A91" s="910"/>
      <c r="B91" s="964">
        <v>74</v>
      </c>
      <c r="C91" s="908"/>
      <c r="D91" s="1032" t="s">
        <v>2210</v>
      </c>
      <c r="E91" s="908" t="s">
        <v>2210</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155</v>
      </c>
      <c r="Q91" s="1022" t="s">
        <v>155</v>
      </c>
      <c r="R91" s="1022"/>
      <c r="S91" s="1022"/>
      <c r="T91" s="908"/>
      <c r="U91" s="908" t="s">
        <v>2213</v>
      </c>
      <c r="V91" s="908" t="s">
        <v>2213</v>
      </c>
      <c r="W91" s="908"/>
      <c r="X91" s="908"/>
      <c r="Y91" s="1065"/>
      <c r="Z91" s="911"/>
      <c r="AA91" s="914"/>
      <c r="AB91" s="911"/>
      <c r="AC91" s="911"/>
      <c r="AD91" s="911"/>
    </row>
    <row customHeight="1" ht="27">
      <c r="A92" s="910"/>
      <c r="B92" s="964">
        <v>75</v>
      </c>
      <c r="C92" s="908"/>
      <c r="D92" s="1032" t="s">
        <v>2211</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156</v>
      </c>
      <c r="Q92" s="1022"/>
      <c r="R92" s="1022"/>
      <c r="S92" s="1022"/>
      <c r="T92" s="908"/>
      <c r="U92" s="908" t="s">
        <v>2214</v>
      </c>
      <c r="V92" s="908"/>
      <c r="W92" s="908"/>
      <c r="X92" s="908"/>
      <c r="Y92" s="1065"/>
      <c r="Z92" s="911"/>
      <c r="AA92" s="914" t="s">
        <v>2215</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2121</v>
      </c>
      <c r="Q93" s="1022"/>
      <c r="R93" s="1022"/>
      <c r="S93" s="1022"/>
      <c r="T93" s="908"/>
      <c r="U93" s="908" t="s">
        <v>2216</v>
      </c>
      <c r="V93" s="908"/>
      <c r="W93" s="908"/>
      <c r="X93" s="908"/>
      <c r="Y93" s="1065"/>
      <c r="Z93" s="911"/>
      <c r="AA93" s="914" t="s">
        <v>2217</v>
      </c>
      <c r="AB93" s="911"/>
      <c r="AC93" s="911"/>
      <c r="AD93" s="911"/>
    </row>
    <row customHeight="1" ht="45">
      <c r="A94" s="910"/>
      <c r="B94" s="964">
        <v>77</v>
      </c>
      <c r="C94" s="908"/>
      <c r="D94" s="1032" t="s">
        <v>2212</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1478</v>
      </c>
      <c r="Q94" s="1022"/>
      <c r="R94" s="1022"/>
      <c r="S94" s="1022"/>
      <c r="T94" s="908"/>
      <c r="U94" s="908" t="s">
        <v>2218</v>
      </c>
      <c r="V94" s="908"/>
      <c r="W94" s="908"/>
      <c r="X94" s="908"/>
      <c r="Y94" s="1065"/>
      <c r="Z94" s="911"/>
      <c r="AA94" s="914" t="s">
        <v>2219</v>
      </c>
      <c r="AB94" s="911"/>
      <c r="AC94" s="911"/>
      <c r="AD94" s="911"/>
    </row>
    <row customHeight="1" ht="99">
      <c r="A95" s="910"/>
      <c r="B95" s="964">
        <v>78</v>
      </c>
      <c r="C95" s="908" t="s">
        <v>2220</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1478</v>
      </c>
      <c r="P95" s="1022"/>
      <c r="Q95" s="1022"/>
      <c r="R95" s="1022"/>
      <c r="S95" s="1022"/>
      <c r="T95" s="908" t="s">
        <v>2221</v>
      </c>
      <c r="U95" s="908"/>
      <c r="V95" s="908"/>
      <c r="W95" s="908"/>
      <c r="X95" s="908"/>
      <c r="Y95" s="1065"/>
      <c r="Z95" s="911"/>
      <c r="AA95" s="914"/>
      <c r="AB95" s="911"/>
      <c r="AC95" s="911"/>
      <c r="AD95" s="911"/>
    </row>
    <row customHeight="1" ht="99">
      <c r="A96" s="910"/>
      <c r="B96" s="964">
        <v>79</v>
      </c>
      <c r="C96" s="908" t="s">
        <v>1168</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1484</v>
      </c>
      <c r="P96" s="1022"/>
      <c r="Q96" s="1022"/>
      <c r="R96" s="1022"/>
      <c r="S96" s="1022"/>
      <c r="T96" s="908" t="s">
        <v>2222</v>
      </c>
      <c r="U96" s="908"/>
      <c r="V96" s="908"/>
      <c r="W96" s="908"/>
      <c r="X96" s="908"/>
      <c r="Y96" s="1065"/>
      <c r="Z96" s="911" t="s">
        <v>2223</v>
      </c>
      <c r="AA96" s="914"/>
      <c r="AB96" s="911"/>
      <c r="AC96" s="911"/>
      <c r="AD96" s="911"/>
    </row>
    <row customHeight="1" ht="63">
      <c r="A97" s="910"/>
      <c r="B97" s="964">
        <v>80</v>
      </c>
      <c r="C97" s="908" t="s">
        <v>2224</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1496</v>
      </c>
      <c r="P97" s="1022"/>
      <c r="Q97" s="1022"/>
      <c r="R97" s="1022"/>
      <c r="S97" s="1022"/>
      <c r="T97" s="908" t="s">
        <v>2225</v>
      </c>
      <c r="U97" s="908"/>
      <c r="V97" s="908"/>
      <c r="W97" s="908"/>
      <c r="X97" s="908"/>
      <c r="Y97" s="1065"/>
      <c r="Z97" s="911" t="s">
        <v>2226</v>
      </c>
      <c r="AA97" s="914"/>
      <c r="AB97" s="911"/>
      <c r="AC97" s="911"/>
      <c r="AD97" s="911"/>
    </row>
    <row customHeight="1" ht="63">
      <c r="A98" s="910"/>
      <c r="B98" s="964">
        <v>81</v>
      </c>
      <c r="C98" s="908" t="s">
        <v>2227</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1510</v>
      </c>
      <c r="P98" s="1022"/>
      <c r="Q98" s="1022"/>
      <c r="R98" s="1022"/>
      <c r="S98" s="1022"/>
      <c r="T98" s="908" t="s">
        <v>2228</v>
      </c>
      <c r="U98" s="908"/>
      <c r="V98" s="908"/>
      <c r="W98" s="908"/>
      <c r="X98" s="908"/>
      <c r="Y98" s="1065"/>
      <c r="Z98" s="911" t="s">
        <v>2226</v>
      </c>
      <c r="AA98" s="914"/>
      <c r="AB98" s="911"/>
      <c r="AC98" s="911"/>
      <c r="AD98" s="911"/>
    </row>
    <row customHeight="1" ht="90">
      <c r="A99" s="910"/>
      <c r="B99" s="964">
        <v>82</v>
      </c>
      <c r="C99" s="908" t="s">
        <v>2229</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1522</v>
      </c>
      <c r="P99" s="1022"/>
      <c r="Q99" s="1022"/>
      <c r="R99" s="1022"/>
      <c r="S99" s="1022"/>
      <c r="T99" s="908" t="s">
        <v>2230</v>
      </c>
      <c r="U99" s="908"/>
      <c r="V99" s="908"/>
      <c r="W99" s="908"/>
      <c r="X99" s="908"/>
      <c r="Y99" s="1065"/>
      <c r="Z99" s="911" t="s">
        <v>644</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2231</v>
      </c>
      <c r="P100" s="1022"/>
      <c r="Q100" s="1022"/>
      <c r="R100" s="1022"/>
      <c r="S100" s="1022"/>
      <c r="T100" s="908" t="s">
        <v>2232</v>
      </c>
      <c r="U100" s="908"/>
      <c r="V100" s="908"/>
      <c r="W100" s="908"/>
      <c r="X100" s="908"/>
      <c r="Y100" s="1065"/>
      <c r="Z100" s="911" t="s">
        <v>644</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2233</v>
      </c>
      <c r="P101" s="1022"/>
      <c r="Q101" s="1022"/>
      <c r="R101" s="1022"/>
      <c r="S101" s="1022"/>
      <c r="T101" s="908" t="s">
        <v>2234</v>
      </c>
      <c r="U101" s="908"/>
      <c r="V101" s="908"/>
      <c r="W101" s="908"/>
      <c r="X101" s="908"/>
      <c r="Y101" s="1065"/>
      <c r="Z101" s="911" t="s">
        <v>644</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1674</v>
      </c>
      <c r="B148" s="910"/>
      <c r="C148" s="908" t="s">
        <v>2235</v>
      </c>
      <c r="D148" s="908" t="s">
        <v>1577</v>
      </c>
      <c r="E148" s="908" t="s">
        <v>1676</v>
      </c>
      <c r="F148" s="908" t="s">
        <v>2236</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2237</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2238</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1678</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1681</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1686</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D7DE8-96E1-B537-4107-0.4E41F85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745" width="10.57421875" hidden="1"/>
    <col min="2" max="2" style="5745" width="11.00390625" hidden="1" customWidth="1"/>
    <col min="3" max="3" style="5745" width="10.57421875" hidden="1"/>
    <col min="4" max="4" style="5745" width="11.8515625" hidden="1" customWidth="1"/>
    <col min="5" max="5" style="5745" width="12.28125" hidden="1" customWidth="1"/>
    <col min="6" max="8" style="4989" width="12.28125" hidden="1" customWidth="1"/>
    <col min="9" max="9" style="6479" width="3.00390625" customWidth="1"/>
    <col min="10" max="11" style="5766" width="3.00390625" customWidth="1"/>
    <col min="12" max="12" style="6453" width="12.00390625" customWidth="1"/>
    <col min="13" max="13" style="5796" width="31.00390625" customWidth="1"/>
    <col min="14" max="14" style="5796" width="1.00390625" customWidth="1"/>
    <col min="15" max="18" style="5796" width="24.00390625" customWidth="1"/>
    <col min="19" max="19" style="5796" width="11.00390625" customWidth="1"/>
    <col min="20" max="20" style="5796" width="3.7109375" customWidth="1"/>
    <col min="21" max="21" style="5796" width="11.00390625" customWidth="1"/>
    <col min="22" max="22" style="5796" width="8.57421875" customWidth="1"/>
    <col min="23" max="23" style="5796" width="4.00390625" customWidth="1"/>
    <col min="24" max="24" style="5796" width="115.00390625" customWidth="1"/>
    <col min="25" max="29" style="5305" width="10.00390625" customWidth="1"/>
    <col min="30" max="30" style="5796"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2239</v>
      </c>
      <c r="M5" s="2668"/>
      <c r="N5" s="2668"/>
      <c r="O5" s="2668"/>
      <c r="P5" s="2668"/>
      <c r="Q5" s="2668"/>
      <c r="R5" s="2668"/>
      <c r="S5" s="2668"/>
      <c r="T5" s="2668"/>
      <c r="U5" s="2668"/>
      <c r="V5" s="1308"/>
      <c r="AD5" s="1220">
        <v>64</v>
      </c>
    </row>
    <row customHeight="1" ht="14.699999999999998">
      <c r="J6" s="441"/>
      <c r="K6" s="441"/>
      <c r="L6" s="2669" t="str">
        <f>IF(org=0,"Не определено",org)</f>
        <v>Нарьян-Марское МУ ПОКиТС</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6339"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УГРЦТ НАО</v>
      </c>
      <c r="P8" s="2316"/>
      <c r="Q8" s="2316"/>
      <c r="R8" s="2316"/>
      <c r="S8" s="2316"/>
      <c r="T8" s="2316"/>
      <c r="U8" s="2316"/>
      <c r="V8" s="391"/>
      <c r="W8" s="391"/>
      <c r="X8" s="345"/>
      <c r="Y8" s="433"/>
      <c r="Z8" s="433"/>
      <c r="AA8" s="433"/>
      <c r="AB8" s="433"/>
      <c r="AC8" s="433"/>
      <c r="AD8" s="483">
        <v>46</v>
      </c>
    </row>
    <row s="6339" customFormat="1" customHeight="1" ht="24">
      <c r="A9" s="1433"/>
      <c r="B9" s="1433"/>
      <c r="C9" s="1433"/>
      <c r="D9" s="1433"/>
      <c r="E9" s="1433"/>
      <c r="F9" s="1433"/>
      <c r="G9" s="1433"/>
      <c r="H9" s="1433"/>
      <c r="L9" s="1341"/>
      <c r="M9" s="360" t="s">
        <v>429</v>
      </c>
      <c r="N9" s="369"/>
      <c r="O9" s="2316" t="str">
        <f>IF(TITLE_DATE_CHANGE_PERIOD="",IF(TITLE_DATE_PR="","",TITLE_DATE_PR),TITLE_DATE_CHANGE_PERIOD)</f>
        <v>45658.552928240744</v>
      </c>
      <c r="P9" s="2316"/>
      <c r="Q9" s="2316"/>
      <c r="R9" s="2316"/>
      <c r="S9" s="2316"/>
      <c r="T9" s="2316"/>
      <c r="U9" s="2316"/>
      <c r="V9" s="391"/>
      <c r="W9" s="391"/>
      <c r="X9" s="345"/>
      <c r="Y9" s="433"/>
      <c r="Z9" s="433"/>
      <c r="AA9" s="433"/>
      <c r="AB9" s="433"/>
      <c r="AC9" s="433"/>
      <c r="AD9" s="483">
        <v>23</v>
      </c>
    </row>
    <row s="6339" customFormat="1" customHeight="1" ht="24">
      <c r="A10" s="1433"/>
      <c r="B10" s="1433"/>
      <c r="C10" s="1433"/>
      <c r="D10" s="1433"/>
      <c r="E10" s="1433"/>
      <c r="F10" s="1433"/>
      <c r="G10" s="1433"/>
      <c r="H10" s="1433"/>
      <c r="L10" s="1315"/>
      <c r="M10" s="360" t="s">
        <v>430</v>
      </c>
      <c r="N10" s="369"/>
      <c r="O10" s="2316" t="str">
        <f>IF(TITLE_NUMBER_PR_CHANGE="",IF(TITLE_NUMBER_PR="","",TITLE_NUMBER_PR),TITLE_NUMBER_PR_CHANGE)</f>
        <v>57</v>
      </c>
      <c r="P10" s="2316"/>
      <c r="Q10" s="2316"/>
      <c r="R10" s="2316"/>
      <c r="S10" s="2316"/>
      <c r="T10" s="2316"/>
      <c r="U10" s="2316"/>
      <c r="V10" s="391"/>
      <c r="W10" s="391"/>
      <c r="X10" s="345"/>
      <c r="Y10" s="433"/>
      <c r="Z10" s="433"/>
      <c r="AA10" s="433"/>
      <c r="AB10" s="433"/>
      <c r="AC10" s="433"/>
      <c r="AD10" s="483">
        <v>23</v>
      </c>
    </row>
    <row s="6339" customFormat="1" customHeight="1" ht="24">
      <c r="A11" s="1433"/>
      <c r="B11" s="1433"/>
      <c r="C11" s="1433"/>
      <c r="D11" s="1433"/>
      <c r="E11" s="1433"/>
      <c r="F11" s="1433"/>
      <c r="G11" s="1433"/>
      <c r="H11" s="1433"/>
      <c r="L11" s="1315"/>
      <c r="M11" s="360" t="s">
        <v>44</v>
      </c>
      <c r="N11" s="369"/>
      <c r="O11" s="2316" t="str">
        <f>IF(TITLE_IST_PUB_CHANGE="",IF(TITLE_IST_PUB="","",TITLE_IST_PUB),TITLE_IST_PUB_CHANGE)</f>
        <v>http://pravo.gov.ru</v>
      </c>
      <c r="P11" s="2316"/>
      <c r="Q11" s="2316"/>
      <c r="R11" s="2316"/>
      <c r="S11" s="2316"/>
      <c r="T11" s="2316"/>
      <c r="U11" s="2316"/>
      <c r="V11" s="391"/>
      <c r="W11" s="391"/>
      <c r="X11" s="345"/>
      <c r="Y11" s="433"/>
      <c r="Z11" s="433"/>
      <c r="AA11" s="433"/>
      <c r="AB11" s="433"/>
      <c r="AC11" s="433"/>
      <c r="AD11" s="483">
        <v>23</v>
      </c>
    </row>
    <row s="6339"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433</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309</v>
      </c>
      <c r="M14" s="2192"/>
      <c r="N14" s="2192"/>
      <c r="O14" s="2192"/>
      <c r="P14" s="2192"/>
      <c r="Q14" s="2192"/>
      <c r="R14" s="2192"/>
      <c r="S14" s="2192"/>
      <c r="T14" s="2192"/>
      <c r="U14" s="2192"/>
      <c r="V14" s="2192"/>
      <c r="W14" s="2192"/>
      <c r="X14" s="2192" t="s">
        <v>310</v>
      </c>
      <c r="AD14" s="1220">
        <v>14</v>
      </c>
    </row>
    <row customHeight="1" ht="14.699999999999998">
      <c r="J15" s="441"/>
      <c r="K15" s="441"/>
      <c r="L15" s="2338" t="s">
        <v>91</v>
      </c>
      <c r="M15" s="2274" t="s">
        <v>434</v>
      </c>
      <c r="N15" s="366"/>
      <c r="O15" s="2339" t="s">
        <v>2240</v>
      </c>
      <c r="P15" s="2340"/>
      <c r="Q15" s="2340"/>
      <c r="R15" s="2340"/>
      <c r="S15" s="2340"/>
      <c r="T15" s="2340"/>
      <c r="U15" s="2341"/>
      <c r="V15" s="2342" t="s">
        <v>436</v>
      </c>
      <c r="W15" s="2345" t="s">
        <v>1165</v>
      </c>
      <c r="X15" s="2192"/>
      <c r="AD15" s="1220">
        <v>14</v>
      </c>
    </row>
    <row customHeight="1" ht="35.699999999999996">
      <c r="J16" s="441"/>
      <c r="K16" s="441"/>
      <c r="L16" s="2338"/>
      <c r="M16" s="2274"/>
      <c r="N16" s="1096"/>
      <c r="O16" s="2325" t="s">
        <v>439</v>
      </c>
      <c r="P16" s="2325" t="s">
        <v>440</v>
      </c>
      <c r="Q16" s="2327" t="s">
        <v>441</v>
      </c>
      <c r="R16" s="2328"/>
      <c r="S16" s="2327" t="s">
        <v>455</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450</v>
      </c>
      <c r="R17" s="1287" t="s">
        <v>451</v>
      </c>
      <c r="S17" s="1357" t="s">
        <v>452</v>
      </c>
      <c r="T17" s="2335" t="s">
        <v>453</v>
      </c>
      <c r="U17" s="2336"/>
      <c r="V17" s="2344"/>
      <c r="W17" s="2347"/>
      <c r="X17" s="2192"/>
      <c r="AD17" s="1220">
        <v>34</v>
      </c>
    </row>
    <row s="4600"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178</v>
      </c>
      <c r="B19" s="1428" t="s">
        <v>179</v>
      </c>
      <c r="C19" s="1428" t="s">
        <v>180</v>
      </c>
      <c r="D19" s="1428" t="s">
        <v>181</v>
      </c>
      <c r="E19" s="1428"/>
      <c r="F19" s="1430"/>
      <c r="G19" s="1430"/>
      <c r="H19" s="1430"/>
      <c r="I19" s="426"/>
      <c r="J19" s="425"/>
      <c r="K19" s="420"/>
      <c r="L19" s="1358">
        <f>INDEX(PT_DIFFERENTIATION_NUM_NTAR,MATCH(A19,PT_DIFFERENTIATION_NTAR_ID,0))</f>
        <v>1</v>
      </c>
      <c r="M19" s="363" t="s">
        <v>126</v>
      </c>
      <c r="N19" s="365"/>
      <c r="O19" s="2671" t="str">
        <f>INDEX(PT_DIFFERENTIATION_NTAR,MATCH(A19,PT_DIFFERENTIATION_NTAR_ID,0))</f>
        <v/>
      </c>
      <c r="P19" s="2671"/>
      <c r="Q19" s="2671"/>
      <c r="R19" s="2671"/>
      <c r="S19" s="2671"/>
      <c r="T19" s="2671"/>
      <c r="U19" s="2671"/>
      <c r="V19" s="2671"/>
      <c r="W19" s="2671"/>
      <c r="X19" s="1323" t="s">
        <v>405</v>
      </c>
      <c r="Z19" s="565"/>
      <c r="AA19" s="565" t="str">
        <f>IF(M19="","",M19)</f>
        <v>Наименование тарифа</v>
      </c>
      <c r="AB19" s="565"/>
      <c r="AC19" s="565"/>
      <c r="AD19" s="1220">
        <v>20</v>
      </c>
    </row>
    <row customHeight="1" ht="21">
      <c r="A20" s="1428" t="s">
        <v>178</v>
      </c>
      <c r="B20" s="1428" t="s">
        <v>179</v>
      </c>
      <c r="C20" s="1428" t="s">
        <v>180</v>
      </c>
      <c r="D20" s="1428" t="s">
        <v>181</v>
      </c>
      <c r="E20" s="1428"/>
      <c r="F20" s="1430"/>
      <c r="G20" s="1430"/>
      <c r="H20" s="1430"/>
      <c r="I20" s="1355"/>
      <c r="J20" s="417"/>
      <c r="K20" s="418"/>
      <c r="L20" s="1358" t="str">
        <f>INDEX(PT_DIFFERENTIATION_NUM_TER,MATCH(B19,PT_DIFFERENTIATION_TER_ID,0))</f>
        <v>1.1</v>
      </c>
      <c r="M20" s="373" t="s">
        <v>406</v>
      </c>
      <c r="N20" s="365"/>
      <c r="O20" s="2671" t="str">
        <f>INDEX(PT_DIFFERENTIATION_TER,MATCH(B19,PT_DIFFERENTIATION_TER_ID,0))</f>
        <v>без дифференциации</v>
      </c>
      <c r="P20" s="2671"/>
      <c r="Q20" s="2671"/>
      <c r="R20" s="2671"/>
      <c r="S20" s="2671"/>
      <c r="T20" s="2671"/>
      <c r="U20" s="2671"/>
      <c r="V20" s="2671"/>
      <c r="W20" s="2671"/>
      <c r="X20" s="1323" t="s">
        <v>407</v>
      </c>
      <c r="Z20" s="565"/>
      <c r="AA20" s="565" t="str">
        <f>IF(M20="","",M20)</f>
        <v>Территория действия тарифа</v>
      </c>
      <c r="AB20" s="565"/>
      <c r="AC20" s="565"/>
      <c r="AD20" s="1220">
        <v>20</v>
      </c>
    </row>
    <row customHeight="1" ht="24">
      <c r="A21" s="1428" t="s">
        <v>178</v>
      </c>
      <c r="B21" s="1428" t="s">
        <v>179</v>
      </c>
      <c r="C21" s="1428" t="s">
        <v>180</v>
      </c>
      <c r="D21" s="1428" t="s">
        <v>181</v>
      </c>
      <c r="E21" s="1428"/>
      <c r="F21" s="1430"/>
      <c r="G21" s="1430"/>
      <c r="H21" s="1430"/>
      <c r="I21" s="419"/>
      <c r="J21" s="417"/>
      <c r="K21" s="418"/>
      <c r="L21" s="1358" t="str">
        <f>INDEX(PT_DIFFERENTIATION_NUM_CS,MATCH(C19,PT_DIFFERENTIATION_CS_ID,0))</f>
        <v>1.1.1</v>
      </c>
      <c r="M21" s="374" t="s">
        <v>408</v>
      </c>
      <c r="N21" s="365"/>
      <c r="O21" s="2671" t="str">
        <f>INDEX(PT_DIFFERENTIATION_CS,MATCH(C19,PT_DIFFERENTIATION_CS_ID,0))</f>
        <v>без дифференциации</v>
      </c>
      <c r="P21" s="2671"/>
      <c r="Q21" s="2671"/>
      <c r="R21" s="2671"/>
      <c r="S21" s="2671"/>
      <c r="T21" s="2671"/>
      <c r="U21" s="2671"/>
      <c r="V21" s="2671"/>
      <c r="W21" s="2671"/>
      <c r="X21" s="1323" t="s">
        <v>409</v>
      </c>
      <c r="Z21" s="565"/>
      <c r="AA21" s="565" t="str">
        <f>IF(M21="","",M21)</f>
        <v>Наименование системы теплоснабжения </v>
      </c>
      <c r="AB21" s="565"/>
      <c r="AC21" s="565"/>
      <c r="AD21" s="1220">
        <v>23</v>
      </c>
    </row>
    <row customHeight="1" ht="21">
      <c r="A22" s="1428" t="s">
        <v>178</v>
      </c>
      <c r="B22" s="1428" t="s">
        <v>179</v>
      </c>
      <c r="C22" s="1428" t="s">
        <v>180</v>
      </c>
      <c r="D22" s="1428" t="s">
        <v>181</v>
      </c>
      <c r="E22" s="1428"/>
      <c r="F22" s="1430"/>
      <c r="G22" s="1430"/>
      <c r="H22" s="1430"/>
      <c r="I22" s="419"/>
      <c r="J22" s="417"/>
      <c r="K22" s="418"/>
      <c r="L22" s="1358" t="str">
        <f>INDEX(PT_DIFFERENTIATION_NUM_IST_TE,MATCH(D19,PT_DIFFERENTIATION_IST_TE_ID,0))</f>
        <v>1.1.1.1</v>
      </c>
      <c r="M22" s="375" t="s">
        <v>410</v>
      </c>
      <c r="N22" s="365"/>
      <c r="O22" s="2671" t="str">
        <f>INDEX(PT_DIFFERENTIATION_IST_TE,MATCH(D19,PT_DIFFERENTIATION_IST_TE_ID,0))</f>
        <v>без дифференциации</v>
      </c>
      <c r="P22" s="2671"/>
      <c r="Q22" s="2671"/>
      <c r="R22" s="2671"/>
      <c r="S22" s="2671"/>
      <c r="T22" s="2671"/>
      <c r="U22" s="2671"/>
      <c r="V22" s="2671"/>
      <c r="W22" s="2671"/>
      <c r="X22" s="1323" t="s">
        <v>411</v>
      </c>
      <c r="Z22" s="565"/>
      <c r="AA22" s="565" t="str">
        <f>IF(M22="","",M22)</f>
        <v>Источник тепловой энергии  </v>
      </c>
      <c r="AB22" s="565"/>
      <c r="AC22" s="565"/>
      <c r="AD22" s="1220">
        <v>20</v>
      </c>
    </row>
    <row customHeight="1" ht="96.75">
      <c r="A23" s="1428" t="s">
        <v>178</v>
      </c>
      <c r="B23" s="1428" t="s">
        <v>179</v>
      </c>
      <c r="C23" s="1428" t="s">
        <v>180</v>
      </c>
      <c r="D23" s="1428" t="s">
        <v>181</v>
      </c>
      <c r="E23" s="1428"/>
      <c r="F23" s="2672" t="str">
        <f>L22&amp;".1"</f>
        <v>1.1.1.1.1</v>
      </c>
      <c r="I23" s="2322">
        <v>1</v>
      </c>
      <c r="J23" s="1356"/>
      <c r="K23" s="421"/>
      <c r="L23" s="1358" t="str">
        <f>$F$23</f>
        <v>1.1.1.1.1</v>
      </c>
      <c r="M23" s="350" t="s">
        <v>413</v>
      </c>
      <c r="N23" s="365"/>
      <c r="O23" s="2370"/>
      <c r="P23" s="2370"/>
      <c r="Q23" s="2370"/>
      <c r="R23" s="2370"/>
      <c r="S23" s="2370"/>
      <c r="T23" s="2370"/>
      <c r="U23" s="2370"/>
      <c r="V23" s="2370"/>
      <c r="W23" s="2370"/>
      <c r="X23" s="1323" t="s">
        <v>414</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178</v>
      </c>
      <c r="B24" s="1428" t="s">
        <v>179</v>
      </c>
      <c r="C24" s="1428" t="s">
        <v>180</v>
      </c>
      <c r="D24" s="1428" t="s">
        <v>181</v>
      </c>
      <c r="E24" s="1428"/>
      <c r="F24" s="2672"/>
      <c r="G24" s="2282" t="str">
        <f>F23&amp;".1"</f>
        <v>1.1.1.1.1.1</v>
      </c>
      <c r="I24" s="2322"/>
      <c r="J24" s="2322">
        <v>1</v>
      </c>
      <c r="K24" s="422"/>
      <c r="L24" s="1358" t="str">
        <f>$G$24</f>
        <v>1.1.1.1.1.1</v>
      </c>
      <c r="M24" s="351" t="s">
        <v>416</v>
      </c>
      <c r="N24" s="365"/>
      <c r="O24" s="2310"/>
      <c r="P24" s="2311"/>
      <c r="Q24" s="2311"/>
      <c r="R24" s="2311"/>
      <c r="S24" s="2311"/>
      <c r="T24" s="2311"/>
      <c r="U24" s="2311"/>
      <c r="V24" s="2311"/>
      <c r="W24" s="2312"/>
      <c r="X24" s="1323" t="s">
        <v>417</v>
      </c>
      <c r="Z24" s="565"/>
      <c r="AA24" s="565" t="str">
        <f>IF(M24="","",M24)</f>
        <v>Группа потребителей</v>
      </c>
      <c r="AB24" s="565"/>
      <c r="AC24" s="565"/>
      <c r="AD24" s="1220">
        <v>82</v>
      </c>
    </row>
    <row customHeight="1" ht="11.549999999999999">
      <c r="A25" s="1428" t="s">
        <v>178</v>
      </c>
      <c r="B25" s="1428" t="s">
        <v>179</v>
      </c>
      <c r="C25" s="1428" t="s">
        <v>180</v>
      </c>
      <c r="D25" s="1428" t="s">
        <v>181</v>
      </c>
      <c r="E25" s="1428"/>
      <c r="F25" s="2672"/>
      <c r="G25" s="2282"/>
      <c r="H25" s="2282" t="str">
        <f>G24&amp;".1"</f>
        <v>1.1.1.1.1.1.1</v>
      </c>
      <c r="I25" s="2322"/>
      <c r="J25" s="2322"/>
      <c r="K25" s="422">
        <v>1</v>
      </c>
      <c r="L25" s="1358" t="str">
        <f>$H$25</f>
        <v>1.1.1.1.1.1.1</v>
      </c>
      <c r="M25" s="1412"/>
      <c r="N25" s="365"/>
      <c r="O25" s="816"/>
      <c r="P25" s="390"/>
      <c r="Q25" s="816"/>
      <c r="R25" s="1322"/>
      <c r="S25" s="2667"/>
      <c r="T25" s="2172" t="s">
        <v>64</v>
      </c>
      <c r="U25" s="2667"/>
      <c r="V25" s="2172" t="s">
        <v>19</v>
      </c>
      <c r="W25" s="390"/>
      <c r="X25" s="2318" t="s">
        <v>419</v>
      </c>
      <c r="Y25" s="576">
        <f>STRCHECKDATE(O26:W26)</f>
      </c>
      <c r="Z25" s="565"/>
      <c r="AA25" s="565" t="str">
        <f>IF(M25="","",M25)</f>
        <v/>
      </c>
      <c r="AB25" s="565"/>
      <c r="AC25" s="565"/>
      <c r="AD25" s="1220">
        <v>11</v>
      </c>
    </row>
    <row customHeight="1" ht="11.549999999999999">
      <c r="A26" s="1428" t="s">
        <v>178</v>
      </c>
      <c r="B26" s="1428" t="s">
        <v>179</v>
      </c>
      <c r="C26" s="1428" t="s">
        <v>180</v>
      </c>
      <c r="D26" s="1428" t="s">
        <v>181</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178</v>
      </c>
      <c r="B27" s="1428" t="s">
        <v>179</v>
      </c>
      <c r="C27" s="1428" t="s">
        <v>180</v>
      </c>
      <c r="D27" s="1428" t="s">
        <v>181</v>
      </c>
      <c r="E27" s="1428"/>
      <c r="F27" s="2672"/>
      <c r="G27" s="2282"/>
      <c r="I27" s="2322"/>
      <c r="J27" s="2322"/>
      <c r="K27" s="421"/>
      <c r="L27" s="1343"/>
      <c r="M27" s="353" t="s">
        <v>420</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178</v>
      </c>
      <c r="B28" s="1428" t="s">
        <v>179</v>
      </c>
      <c r="C28" s="1428" t="s">
        <v>180</v>
      </c>
      <c r="D28" s="1428" t="s">
        <v>181</v>
      </c>
      <c r="E28" s="1428"/>
      <c r="F28" s="2672"/>
      <c r="I28" s="2322"/>
      <c r="J28" s="1356"/>
      <c r="K28" s="421"/>
      <c r="L28" s="1343"/>
      <c r="M28" s="352" t="s">
        <v>421</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178</v>
      </c>
      <c r="B29" s="1428" t="s">
        <v>179</v>
      </c>
      <c r="C29" s="1428" t="s">
        <v>180</v>
      </c>
      <c r="D29" s="1428" t="s">
        <v>181</v>
      </c>
      <c r="E29" s="1428"/>
      <c r="F29" s="1430"/>
      <c r="G29" s="1430"/>
      <c r="H29" s="602"/>
      <c r="I29" s="425"/>
      <c r="J29" s="440"/>
      <c r="K29" s="420"/>
      <c r="L29" s="1343"/>
      <c r="M29" s="430" t="s">
        <v>422</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178</v>
      </c>
      <c r="B30" s="1428" t="s">
        <v>179</v>
      </c>
      <c r="C30" s="1428" t="s">
        <v>180</v>
      </c>
      <c r="D30" s="1428"/>
      <c r="E30" s="1428" t="s">
        <v>599</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178</v>
      </c>
      <c r="B31" s="1428" t="s">
        <v>179</v>
      </c>
      <c r="C31" s="1428"/>
      <c r="D31" s="1428"/>
      <c r="E31" s="1428" t="s">
        <v>2241</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2242</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6516" customFormat="1" customHeight="1" ht="11.549999999999999">
      <c r="A33" s="1428"/>
      <c r="B33" s="1428"/>
      <c r="C33" s="1428"/>
      <c r="D33" s="1428"/>
      <c r="E33" s="1428" t="s">
        <v>173</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816</v>
      </c>
      <c r="M35" s="2350" t="s">
        <v>2243</v>
      </c>
      <c r="N35" s="2350"/>
      <c r="O35" s="2350"/>
      <c r="P35" s="2350"/>
      <c r="Q35" s="2350"/>
      <c r="R35" s="2350"/>
      <c r="S35" s="2350"/>
      <c r="T35" s="2350"/>
      <c r="U35" s="2350"/>
      <c r="V35" s="2350"/>
      <c r="W35" s="2350"/>
      <c r="X35" s="2350"/>
      <c r="AD35" s="1220">
        <v>27</v>
      </c>
    </row>
    <row customHeight="1" ht="109.19999999999999">
      <c r="H36" s="602"/>
      <c r="I36" s="1368"/>
      <c r="M36" s="2350" t="s">
        <v>2244</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FB226-BE38-8233-57A4-0.CE364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3C96B-7C12-9B39-6C16-0.7BF386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D2309-16C3-2907-19FA-0.2CA4A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1EF89-4372-3523-5791-0.CBFE1F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287DD-8001-8D6C-A70A-0.2E8AF5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796E6-E087-35C1-051C-0.7D57B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62" width="15.00390625" hidden="1" customWidth="1"/>
    <col min="2" max="2" style="3414" width="15.00390625" hidden="1" customWidth="1"/>
    <col min="3" max="3" style="3412" width="3.00390625" customWidth="1"/>
    <col min="4" max="4" style="3494" width="6.00390625" customWidth="1"/>
    <col min="5" max="5" style="3412" width="52.00390625" customWidth="1"/>
    <col min="6" max="6" style="3412" width="48.00390625" customWidth="1"/>
    <col min="7" max="7" style="3412" width="121.00390625" customWidth="1"/>
    <col min="8" max="8" style="3412" width="8.00390625" customWidth="1"/>
    <col min="9" max="9" style="3412" width="64.00390625" customWidth="1"/>
    <col min="10" max="10" style="3412" width="9.140625" hidden="1"/>
  </cols>
  <sheetData>
    <row customHeight="1" ht="11.25" hidden="1">
      <c r="A1" s="1751" t="s">
        <v>308</v>
      </c>
      <c r="J1" s="520" t="s">
        <v>14</v>
      </c>
    </row>
    <row customHeight="1" ht="11.25" hidden="1">
      <c r="J2" s="520">
        <v>0</v>
      </c>
    </row>
    <row s="3413"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Нарьян-Марское МУ ПОКиТС</v>
      </c>
      <c r="E5" s="2241"/>
      <c r="F5" s="2241"/>
      <c r="I5" s="780"/>
      <c r="J5" s="520">
        <v>17</v>
      </c>
    </row>
    <row s="3413"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309</v>
      </c>
      <c r="E8" s="2270"/>
      <c r="F8" s="2270"/>
      <c r="G8" s="2273" t="s">
        <v>310</v>
      </c>
      <c r="J8" s="520">
        <v>11</v>
      </c>
    </row>
    <row customHeight="1" ht="11.549999999999999">
      <c r="A9" s="522"/>
      <c r="B9" s="567"/>
      <c r="C9" s="522"/>
      <c r="D9" s="537" t="s">
        <v>91</v>
      </c>
      <c r="E9" s="511" t="s">
        <v>311</v>
      </c>
      <c r="F9" s="511" t="s">
        <v>312</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313</v>
      </c>
      <c r="F11" s="1076" t="str">
        <f>IF(region_name="","",region_name)</f>
        <v>Ненецкий автономный округ</v>
      </c>
      <c r="G11" s="1077" t="s">
        <v>314</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315</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316</v>
      </c>
      <c r="E14" s="1075" t="s">
        <v>317</v>
      </c>
      <c r="F14" s="1076" t="str">
        <f>IF(inn="","",inn)</f>
        <v>8301020069</v>
      </c>
      <c r="G14" s="1077" t="s">
        <v>318</v>
      </c>
      <c r="H14" s="540"/>
      <c r="J14" s="520">
        <v>0</v>
      </c>
    </row>
    <row customHeight="1" ht="22.5" hidden="1">
      <c r="A15" s="522"/>
      <c r="B15" s="567"/>
      <c r="C15" s="522"/>
      <c r="D15" s="1074" t="s">
        <v>319</v>
      </c>
      <c r="E15" s="1075" t="s">
        <v>320</v>
      </c>
      <c r="F15" s="1076" t="str">
        <f>IF(kpp="","",kpp)</f>
        <v>298301001</v>
      </c>
      <c r="G15" s="1077" t="s">
        <v>321</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322</v>
      </c>
      <c r="B19" s="567"/>
      <c r="C19" s="2278"/>
      <c r="D19" s="510" t="str">
        <f>A19</f>
        <v>5.1</v>
      </c>
      <c r="E19" s="507" t="s">
        <v>323</v>
      </c>
      <c r="F19" s="508" t="s">
        <v>315</v>
      </c>
      <c r="G19" s="509" t="s">
        <v>324</v>
      </c>
      <c r="H19" s="540"/>
      <c r="I19" s="917"/>
      <c r="J19" s="520">
        <v>0</v>
      </c>
    </row>
    <row customHeight="1" ht="24" hidden="1">
      <c r="A20" s="2267"/>
      <c r="B20" s="567"/>
      <c r="C20" s="2278"/>
      <c r="D20" s="505" t="str">
        <f>D19&amp;".1"</f>
        <v>5.1.1</v>
      </c>
      <c r="E20" s="504" t="s">
        <v>325</v>
      </c>
      <c r="F20" s="946" t="s">
        <v>28</v>
      </c>
      <c r="G20" s="539"/>
      <c r="H20" s="540"/>
      <c r="I20" s="917"/>
      <c r="J20" s="520">
        <v>0</v>
      </c>
    </row>
    <row customHeight="1" ht="22.5" hidden="1">
      <c r="A21" s="2267"/>
      <c r="B21" s="567"/>
      <c r="C21" s="2278"/>
      <c r="D21" s="505" t="str">
        <f>D19&amp;".2"</f>
        <v>5.1.2</v>
      </c>
      <c r="E21" s="504" t="s">
        <v>326</v>
      </c>
      <c r="F21" s="1798" t="s">
        <v>28</v>
      </c>
      <c r="G21" s="509" t="s">
        <v>327</v>
      </c>
      <c r="H21" s="540"/>
      <c r="I21" s="917"/>
      <c r="J21" s="520">
        <v>0</v>
      </c>
    </row>
    <row customHeight="1" ht="22.5" hidden="1">
      <c r="A22" s="2267"/>
      <c r="B22" s="567"/>
      <c r="C22" s="2278"/>
      <c r="D22" s="505" t="str">
        <f>D19&amp;".3"</f>
        <v>5.1.3</v>
      </c>
      <c r="E22" s="504" t="s">
        <v>328</v>
      </c>
      <c r="F22" s="946" t="s">
        <v>28</v>
      </c>
      <c r="G22" s="539"/>
      <c r="H22" s="540"/>
      <c r="I22" s="917"/>
      <c r="J22" s="520">
        <v>0</v>
      </c>
    </row>
    <row customHeight="1" ht="22.5" hidden="1">
      <c r="A23" s="2267"/>
      <c r="B23" s="567"/>
      <c r="C23" s="2278"/>
      <c r="D23" s="505" t="str">
        <f>D19&amp;".4"</f>
        <v>5.1.4</v>
      </c>
      <c r="E23" s="504" t="s">
        <v>329</v>
      </c>
      <c r="F23" s="946" t="s">
        <v>28</v>
      </c>
      <c r="G23" s="509" t="s">
        <v>330</v>
      </c>
      <c r="H23" s="540"/>
      <c r="I23" s="917"/>
      <c r="J23" s="520">
        <v>0</v>
      </c>
    </row>
    <row customHeight="1" ht="22.5" hidden="1">
      <c r="A24" s="2043"/>
      <c r="B24" s="567"/>
      <c r="C24" s="557"/>
      <c r="D24" s="532"/>
      <c r="E24" s="1233" t="s">
        <v>331</v>
      </c>
      <c r="F24" s="533"/>
      <c r="G24" s="534"/>
      <c r="H24" s="540"/>
      <c r="I24" s="917"/>
      <c r="J24" s="520">
        <v>0</v>
      </c>
    </row>
    <row s="3414" customFormat="1" customHeight="1" ht="24.75" hidden="1">
      <c r="A25" s="522"/>
      <c r="B25" s="567"/>
      <c r="C25" s="567"/>
      <c r="D25" s="1071" t="s">
        <v>93</v>
      </c>
      <c r="E25" s="1073" t="s">
        <v>332</v>
      </c>
      <c r="F25" s="1078" t="s">
        <v>315</v>
      </c>
      <c r="G25" s="1073"/>
      <c r="J25" s="566">
        <v>0</v>
      </c>
    </row>
    <row s="3414" customFormat="1" customHeight="1" ht="11.25" hidden="1">
      <c r="A26" s="522"/>
      <c r="B26" s="567"/>
      <c r="C26" s="567"/>
      <c r="D26" s="1071" t="s">
        <v>333</v>
      </c>
      <c r="E26" s="1072" t="s">
        <v>334</v>
      </c>
      <c r="F26" s="1078" t="s">
        <v>315</v>
      </c>
      <c r="G26" s="1073"/>
      <c r="J26" s="566">
        <v>0</v>
      </c>
    </row>
    <row s="3414" customFormat="1" customHeight="1" ht="11.25" hidden="1">
      <c r="A27" s="522"/>
      <c r="B27" s="567"/>
      <c r="C27" s="567"/>
      <c r="D27" s="1071" t="s">
        <v>335</v>
      </c>
      <c r="E27" s="1079" t="s">
        <v>336</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414" customFormat="1" customHeight="1" ht="11.25" hidden="1">
      <c r="A28" s="522"/>
      <c r="B28" s="567"/>
      <c r="C28" s="567"/>
      <c r="D28" s="1071" t="s">
        <v>337</v>
      </c>
      <c r="E28" s="1079" t="s">
        <v>338</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414" customFormat="1" customHeight="1" ht="11.25" hidden="1">
      <c r="A29" s="522"/>
      <c r="B29" s="567"/>
      <c r="C29" s="567"/>
      <c r="D29" s="1071" t="s">
        <v>339</v>
      </c>
      <c r="E29" s="1079" t="s">
        <v>340</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414" customFormat="1" customHeight="1" ht="11.25" hidden="1">
      <c r="A30" s="522"/>
      <c r="B30" s="567"/>
      <c r="C30" s="567"/>
      <c r="D30" s="1071" t="s">
        <v>341</v>
      </c>
      <c r="E30" s="1072" t="s">
        <v>342</v>
      </c>
      <c r="F30" s="1080"/>
      <c r="G30" s="1073"/>
      <c r="J30" s="566">
        <v>0</v>
      </c>
    </row>
    <row s="3414" customFormat="1" customHeight="1" ht="11.25" hidden="1">
      <c r="A31" s="522"/>
      <c r="B31" s="567"/>
      <c r="C31" s="567"/>
      <c r="D31" s="1071" t="s">
        <v>343</v>
      </c>
      <c r="E31" s="1072" t="s">
        <v>344</v>
      </c>
      <c r="F31" s="1080"/>
      <c r="G31" s="1073"/>
      <c r="J31" s="566">
        <v>0</v>
      </c>
    </row>
    <row s="3414" customFormat="1" customHeight="1" ht="11.25" hidden="1">
      <c r="A32" s="522"/>
      <c r="B32" s="567"/>
      <c r="C32" s="567"/>
      <c r="D32" s="1071" t="s">
        <v>345</v>
      </c>
      <c r="E32" s="1072" t="s">
        <v>346</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315</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347</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347</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315</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348</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349</v>
      </c>
      <c r="H44" s="540"/>
      <c r="J44" s="520">
        <v>22</v>
      </c>
    </row>
    <row customHeight="1" ht="23.25">
      <c r="A45" s="522"/>
      <c r="B45" s="567"/>
      <c r="C45" s="522"/>
      <c r="D45" s="505">
        <f>D44+1</f>
        <v>12</v>
      </c>
      <c r="E45" s="503" t="s">
        <v>350</v>
      </c>
      <c r="F45" s="508" t="s">
        <v>315</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351</v>
      </c>
      <c r="H46" s="540"/>
      <c r="J46" s="520">
        <v>23</v>
      </c>
    </row>
    <row customHeight="1" ht="24">
      <c r="A47" s="2267"/>
      <c r="B47" s="567"/>
      <c r="C47" s="557"/>
      <c r="D47" s="505" t="str">
        <f>D45&amp;".2"</f>
        <v>12.2</v>
      </c>
      <c r="E47" s="507" t="s">
        <v>352</v>
      </c>
      <c r="F47" s="555"/>
      <c r="G47" s="502" t="s">
        <v>353</v>
      </c>
      <c r="H47" s="540"/>
      <c r="J47" s="520">
        <v>23</v>
      </c>
    </row>
    <row customHeight="1" ht="24">
      <c r="A48" s="2267"/>
      <c r="B48" s="567"/>
      <c r="C48" s="557"/>
      <c r="D48" s="505" t="str">
        <f>D45&amp;".3"</f>
        <v>12.3</v>
      </c>
      <c r="E48" s="507" t="s">
        <v>354</v>
      </c>
      <c r="F48" s="555"/>
      <c r="G48" s="502" t="s">
        <v>355</v>
      </c>
      <c r="H48" s="540"/>
      <c r="J48" s="520">
        <v>23</v>
      </c>
    </row>
    <row customHeight="1" ht="24">
      <c r="A49" s="2267"/>
      <c r="B49" s="567"/>
      <c r="C49" s="557"/>
      <c r="D49" s="505" t="str">
        <f>IF(TEMPLATE_SPHERE="TKO",D45&amp;".0",D45&amp;".4")</f>
        <v>12.4</v>
      </c>
      <c r="E49" s="501" t="s">
        <v>356</v>
      </c>
      <c r="F49" s="1750"/>
      <c r="G49" s="1827" t="s">
        <v>357</v>
      </c>
      <c r="H49" s="540"/>
      <c r="J49" s="520">
        <v>23</v>
      </c>
    </row>
    <row customHeight="1" ht="24">
      <c r="A50" s="522"/>
      <c r="B50" s="567"/>
      <c r="C50" s="522"/>
      <c r="D50" s="532"/>
      <c r="E50" s="480" t="s">
        <v>358</v>
      </c>
      <c r="F50" s="533"/>
      <c r="G50" s="1827" t="s">
        <v>359</v>
      </c>
      <c r="H50" s="541"/>
      <c r="J50" s="520">
        <v>23</v>
      </c>
    </row>
    <row customHeight="1" ht="24">
      <c r="A51" s="923"/>
      <c r="B51" s="567"/>
      <c r="C51" s="557"/>
      <c r="D51" s="505">
        <f>D45+1</f>
        <v>13</v>
      </c>
      <c r="E51" s="593" t="s">
        <v>360</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48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48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BD15B-7F4D-68E4-4C5F-0.28A44B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EA408-6F0D-9701-6603-0.1AC3D3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A56E7-31CA-83FC-D151-0.7E19B4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05266-4905-D9C2-418A-0.1CD62A3F}" mc:Ignorable="x14ac xr xr2 xr3">
  <dimension ref="A1:E8"/>
  <sheetViews>
    <sheetView topLeftCell="A1" showGridLines="0" workbookViewId="0">
      <selection activeCell="A1" sqref="A1"/>
    </sheetView>
  </sheetViews>
  <sheetFormatPr customHeight="1" defaultRowHeight="11.25"/>
  <cols>
    <col min="1" max="1" style="6516" width="10.57421875" customWidth="1"/>
    <col min="2" max="2" style="6516" width="8.7109375" customWidth="1"/>
    <col min="3" max="3" style="6516" width="18.140625" customWidth="1"/>
    <col min="4" max="4" style="6516" width="12.57421875" customWidth="1"/>
  </cols>
  <sheetData>
    <row customHeight="1" ht="11.25">
      <c r="A1" s="2680" t="s">
        <v>2245</v>
      </c>
      <c r="B1" s="2681" t="s">
        <v>2246</v>
      </c>
      <c r="C1" s="2682" t="s">
        <v>2247</v>
      </c>
      <c r="D1" s="2683"/>
      <c r="E1" s="901" t="s">
        <v>2248</v>
      </c>
    </row>
    <row customHeight="1" ht="11.25">
      <c r="A2" s="2684"/>
      <c r="B2" s="830" t="s">
        <v>26</v>
      </c>
      <c r="C2" s="818"/>
      <c r="D2" s="829"/>
      <c r="E2" s="901"/>
    </row>
    <row customHeight="1" ht="11.25">
      <c r="A3" s="2685"/>
      <c r="B3" s="2686" t="s">
        <v>33</v>
      </c>
      <c r="C3" s="818"/>
      <c r="D3" s="829"/>
      <c r="E3" s="901"/>
    </row>
    <row customHeight="1" ht="11.25">
      <c r="A4" s="2687"/>
      <c r="B4" s="831" t="s">
        <v>1674</v>
      </c>
      <c r="C4" s="818"/>
      <c r="D4" s="829"/>
      <c r="E4" s="901"/>
    </row>
    <row customHeight="1" ht="11.25">
      <c r="A5" s="2688"/>
      <c r="B5" s="831" t="s">
        <v>1668</v>
      </c>
      <c r="C5" s="2689" t="s">
        <v>2012</v>
      </c>
      <c r="D5" s="2690" t="s">
        <v>2249</v>
      </c>
      <c r="E5" s="901"/>
    </row>
    <row s="6516" customFormat="1" customHeight="1" ht="11.25">
      <c r="A6" s="2691"/>
      <c r="B6" s="831" t="s">
        <v>1678</v>
      </c>
      <c r="C6" s="818"/>
      <c r="D6" s="829"/>
      <c r="E6" s="901"/>
    </row>
    <row customHeight="1" ht="11.25">
      <c r="A7" s="2692"/>
      <c r="B7" s="831" t="s">
        <v>1686</v>
      </c>
      <c r="C7" s="818"/>
      <c r="D7" s="829"/>
      <c r="E7" s="901"/>
    </row>
    <row customHeight="1" ht="11.25">
      <c r="A8" s="821"/>
      <c r="B8" s="831" t="s">
        <v>1681</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5D555-FDBC-6B47-0B0E-0.062EEF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047B6-5FD9-EAD1-E789-0.0CC96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6FB2A-4606-E51B-F749-0.232C1E82}"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6516" width="9.140625"/>
    <col min="3" max="3" style="6516" width="20.7109375" customWidth="1"/>
    <col min="4" max="4" style="6516" width="25.140625" customWidth="1"/>
    <col min="5" max="9" style="6516" width="9.140625"/>
  </cols>
  <sheetData>
    <row customHeight="1" ht="11.25">
      <c r="A1" s="133" t="s">
        <v>2250</v>
      </c>
      <c r="B1" s="133" t="s">
        <v>2251</v>
      </c>
      <c r="C1" s="133" t="s">
        <v>2252</v>
      </c>
      <c r="D1" s="133" t="s">
        <v>2253</v>
      </c>
      <c r="E1" s="133" t="s">
        <v>2254</v>
      </c>
      <c r="F1" s="133" t="s">
        <v>2255</v>
      </c>
      <c r="G1" s="133" t="s">
        <v>2256</v>
      </c>
      <c r="H1" s="133" t="s">
        <v>2257</v>
      </c>
      <c r="I1" s="133" t="s">
        <v>2258</v>
      </c>
    </row>
    <row customHeight="1" ht="11.25">
      <c r="A2" s="6501" t="s">
        <v>2259</v>
      </c>
      <c r="B2" s="6501" t="s">
        <v>16</v>
      </c>
      <c r="C2" s="6501" t="s">
        <v>2260</v>
      </c>
      <c r="D2" s="6501" t="s">
        <v>2261</v>
      </c>
      <c r="E2" s="6501" t="s">
        <v>2262</v>
      </c>
      <c r="F2" s="6501" t="s">
        <v>2263</v>
      </c>
      <c r="G2" s="6501" t="s">
        <v>28</v>
      </c>
      <c r="H2" s="6501" t="s">
        <v>28</v>
      </c>
      <c r="I2" s="6501" t="s">
        <v>820</v>
      </c>
    </row>
    <row customHeight="1" ht="11.25">
      <c r="A3" s="6501" t="s">
        <v>2259</v>
      </c>
      <c r="B3" s="6501" t="s">
        <v>16</v>
      </c>
      <c r="C3" s="6501" t="s">
        <v>2264</v>
      </c>
      <c r="D3" s="6501" t="s">
        <v>2265</v>
      </c>
      <c r="E3" s="6501" t="s">
        <v>2266</v>
      </c>
      <c r="F3" s="6501" t="s">
        <v>54</v>
      </c>
      <c r="G3" s="6501" t="s">
        <v>28</v>
      </c>
      <c r="H3" s="6501" t="s">
        <v>28</v>
      </c>
      <c r="I3" s="6501" t="s">
        <v>820</v>
      </c>
    </row>
    <row customHeight="1" ht="11.25">
      <c r="A4" s="6501" t="s">
        <v>2259</v>
      </c>
      <c r="B4" s="6501" t="s">
        <v>16</v>
      </c>
      <c r="C4" s="6501" t="s">
        <v>2267</v>
      </c>
      <c r="D4" s="6501" t="s">
        <v>2268</v>
      </c>
      <c r="E4" s="6501" t="s">
        <v>2269</v>
      </c>
      <c r="F4" s="6501" t="s">
        <v>54</v>
      </c>
      <c r="G4" s="6501" t="s">
        <v>28</v>
      </c>
      <c r="H4" s="6501" t="s">
        <v>28</v>
      </c>
      <c r="I4" s="6501" t="s">
        <v>820</v>
      </c>
    </row>
    <row customHeight="1" ht="11.25">
      <c r="A5" s="6501" t="s">
        <v>2259</v>
      </c>
      <c r="B5" s="6501" t="s">
        <v>16</v>
      </c>
      <c r="C5" s="6501" t="s">
        <v>2270</v>
      </c>
      <c r="D5" s="6501" t="s">
        <v>2271</v>
      </c>
      <c r="E5" s="6501" t="s">
        <v>2272</v>
      </c>
      <c r="F5" s="6501" t="s">
        <v>54</v>
      </c>
      <c r="G5" s="6501" t="s">
        <v>28</v>
      </c>
      <c r="H5" s="6501" t="s">
        <v>28</v>
      </c>
      <c r="I5" s="6501" t="s">
        <v>820</v>
      </c>
    </row>
    <row customHeight="1" ht="11.25">
      <c r="A6" s="6501" t="s">
        <v>2259</v>
      </c>
      <c r="B6" s="6501" t="s">
        <v>16</v>
      </c>
      <c r="C6" s="6501" t="s">
        <v>2273</v>
      </c>
      <c r="D6" s="6501" t="s">
        <v>2274</v>
      </c>
      <c r="E6" s="6501" t="s">
        <v>2275</v>
      </c>
      <c r="F6" s="6501" t="s">
        <v>54</v>
      </c>
      <c r="G6" s="6501" t="s">
        <v>28</v>
      </c>
      <c r="H6" s="6501" t="s">
        <v>28</v>
      </c>
      <c r="I6" s="6501" t="s">
        <v>820</v>
      </c>
    </row>
    <row customHeight="1" ht="11.25">
      <c r="A7" s="6501" t="s">
        <v>2259</v>
      </c>
      <c r="B7" s="6501" t="s">
        <v>16</v>
      </c>
      <c r="C7" s="6501" t="s">
        <v>2276</v>
      </c>
      <c r="D7" s="6501" t="s">
        <v>2277</v>
      </c>
      <c r="E7" s="6501" t="s">
        <v>2278</v>
      </c>
      <c r="F7" s="6501" t="s">
        <v>54</v>
      </c>
      <c r="G7" s="6501" t="s">
        <v>28</v>
      </c>
      <c r="H7" s="6501" t="s">
        <v>28</v>
      </c>
      <c r="I7" s="6501" t="s">
        <v>820</v>
      </c>
    </row>
    <row customHeight="1" ht="11.25">
      <c r="A8" s="6501" t="s">
        <v>2259</v>
      </c>
      <c r="B8" s="6501" t="s">
        <v>16</v>
      </c>
      <c r="C8" s="6501" t="s">
        <v>13</v>
      </c>
      <c r="D8" s="6501" t="s">
        <v>49</v>
      </c>
      <c r="E8" s="6501" t="s">
        <v>52</v>
      </c>
      <c r="F8" s="6501" t="s">
        <v>54</v>
      </c>
      <c r="G8" s="6501" t="s">
        <v>28</v>
      </c>
      <c r="H8" s="6501" t="s">
        <v>28</v>
      </c>
      <c r="I8" s="6501" t="s">
        <v>820</v>
      </c>
    </row>
    <row customHeight="1" ht="11.25">
      <c r="A9" s="6501" t="s">
        <v>2259</v>
      </c>
      <c r="B9" s="6501" t="s">
        <v>16</v>
      </c>
      <c r="C9" s="6501" t="s">
        <v>2279</v>
      </c>
      <c r="D9" s="6501" t="s">
        <v>2280</v>
      </c>
      <c r="E9" s="6501" t="s">
        <v>2281</v>
      </c>
      <c r="F9" s="6501" t="s">
        <v>54</v>
      </c>
      <c r="G9" s="6501" t="s">
        <v>2282</v>
      </c>
      <c r="H9" s="6501" t="s">
        <v>28</v>
      </c>
      <c r="I9" s="6501" t="s">
        <v>820</v>
      </c>
    </row>
    <row customHeight="1" ht="11.25">
      <c r="A10" s="6501" t="s">
        <v>2259</v>
      </c>
      <c r="B10" s="6501" t="s">
        <v>16</v>
      </c>
      <c r="C10" s="6501" t="s">
        <v>2283</v>
      </c>
      <c r="D10" s="6501" t="s">
        <v>2284</v>
      </c>
      <c r="E10" s="6501" t="s">
        <v>2285</v>
      </c>
      <c r="F10" s="6501" t="s">
        <v>2286</v>
      </c>
      <c r="G10" s="6501" t="s">
        <v>28</v>
      </c>
      <c r="H10" s="6501" t="s">
        <v>28</v>
      </c>
      <c r="I10" s="6501" t="s">
        <v>820</v>
      </c>
    </row>
    <row customHeight="1" ht="11.25">
      <c r="A11" s="6501" t="s">
        <v>2259</v>
      </c>
      <c r="B11" s="6501" t="s">
        <v>16</v>
      </c>
      <c r="C11" s="6501" t="s">
        <v>2287</v>
      </c>
      <c r="D11" s="6501" t="s">
        <v>2288</v>
      </c>
      <c r="E11" s="6501" t="s">
        <v>2289</v>
      </c>
      <c r="F11" s="6501" t="s">
        <v>2290</v>
      </c>
      <c r="G11" s="6501" t="s">
        <v>28</v>
      </c>
      <c r="H11" s="6501" t="s">
        <v>28</v>
      </c>
      <c r="I11" s="6501" t="s">
        <v>820</v>
      </c>
    </row>
    <row customHeight="1" ht="11.25">
      <c r="A12" s="6501" t="s">
        <v>2259</v>
      </c>
      <c r="B12" s="6501" t="s">
        <v>16</v>
      </c>
      <c r="C12" s="6501" t="s">
        <v>2291</v>
      </c>
      <c r="D12" s="6501" t="s">
        <v>2292</v>
      </c>
      <c r="E12" s="6501" t="s">
        <v>2293</v>
      </c>
      <c r="F12" s="6501" t="s">
        <v>54</v>
      </c>
      <c r="G12" s="6501" t="s">
        <v>28</v>
      </c>
      <c r="H12" s="6501" t="s">
        <v>28</v>
      </c>
      <c r="I12" s="6501" t="s">
        <v>820</v>
      </c>
    </row>
    <row customHeight="1" ht="11.25">
      <c r="A13" s="6501" t="s">
        <v>2259</v>
      </c>
      <c r="B13" s="6501" t="s">
        <v>16</v>
      </c>
      <c r="C13" s="6501" t="s">
        <v>2294</v>
      </c>
      <c r="D13" s="6501" t="s">
        <v>2295</v>
      </c>
      <c r="E13" s="6501" t="s">
        <v>2262</v>
      </c>
      <c r="F13" s="6501" t="s">
        <v>2296</v>
      </c>
      <c r="G13" s="6501" t="s">
        <v>2297</v>
      </c>
      <c r="H13" s="6501" t="s">
        <v>28</v>
      </c>
      <c r="I13" s="6501" t="s">
        <v>820</v>
      </c>
    </row>
    <row customHeight="1" ht="11.25">
      <c r="A14" s="6501" t="s">
        <v>2259</v>
      </c>
      <c r="B14" s="6501" t="s">
        <v>16</v>
      </c>
      <c r="C14" s="6501" t="s">
        <v>28</v>
      </c>
      <c r="D14" s="6501" t="s">
        <v>2298</v>
      </c>
      <c r="E14" s="6501" t="s">
        <v>2299</v>
      </c>
      <c r="F14" s="6501" t="s">
        <v>54</v>
      </c>
      <c r="G14" s="6501" t="s">
        <v>28</v>
      </c>
      <c r="H14" s="6501" t="s">
        <v>28</v>
      </c>
      <c r="I14" s="6501" t="s">
        <v>820</v>
      </c>
    </row>
    <row customHeight="1" ht="11.25">
      <c r="A15" s="6501" t="s">
        <v>2259</v>
      </c>
      <c r="B15" s="6501" t="s">
        <v>16</v>
      </c>
      <c r="C15" s="6501" t="s">
        <v>2300</v>
      </c>
      <c r="D15" s="6501" t="s">
        <v>2301</v>
      </c>
      <c r="E15" s="6501" t="s">
        <v>2302</v>
      </c>
      <c r="F15" s="6501" t="s">
        <v>2303</v>
      </c>
      <c r="G15" s="6501" t="s">
        <v>28</v>
      </c>
      <c r="H15" s="6501" t="s">
        <v>28</v>
      </c>
      <c r="I15" s="6501" t="s">
        <v>820</v>
      </c>
    </row>
    <row customHeight="1" ht="11.25">
      <c r="A16" s="6501" t="s">
        <v>2259</v>
      </c>
      <c r="B16" s="6501" t="s">
        <v>16</v>
      </c>
      <c r="C16" s="6501" t="s">
        <v>2304</v>
      </c>
      <c r="D16" s="6501" t="s">
        <v>2305</v>
      </c>
      <c r="E16" s="6501" t="s">
        <v>2302</v>
      </c>
      <c r="F16" s="6501" t="s">
        <v>2306</v>
      </c>
      <c r="G16" s="6501" t="s">
        <v>2307</v>
      </c>
      <c r="H16" s="6501" t="s">
        <v>28</v>
      </c>
      <c r="I16" s="6501" t="s">
        <v>820</v>
      </c>
    </row>
    <row customHeight="1" ht="11.25">
      <c r="A17" s="6501" t="s">
        <v>2259</v>
      </c>
      <c r="B17" s="6501" t="s">
        <v>16</v>
      </c>
      <c r="C17" s="6501" t="s">
        <v>2260</v>
      </c>
      <c r="D17" s="6501" t="s">
        <v>2261</v>
      </c>
      <c r="E17" s="6501" t="s">
        <v>2262</v>
      </c>
      <c r="F17" s="6501" t="s">
        <v>2263</v>
      </c>
      <c r="G17" s="6501" t="s">
        <v>28</v>
      </c>
      <c r="H17" s="6501" t="s">
        <v>28</v>
      </c>
      <c r="I17" s="6501" t="s">
        <v>906</v>
      </c>
    </row>
    <row customHeight="1" ht="11.25">
      <c r="A18" s="6501" t="s">
        <v>2259</v>
      </c>
      <c r="B18" s="6501" t="s">
        <v>16</v>
      </c>
      <c r="C18" s="6501" t="s">
        <v>2264</v>
      </c>
      <c r="D18" s="6501" t="s">
        <v>2265</v>
      </c>
      <c r="E18" s="6501" t="s">
        <v>2266</v>
      </c>
      <c r="F18" s="6501" t="s">
        <v>54</v>
      </c>
      <c r="G18" s="6501" t="s">
        <v>28</v>
      </c>
      <c r="H18" s="6501" t="s">
        <v>28</v>
      </c>
      <c r="I18" s="6501" t="s">
        <v>906</v>
      </c>
    </row>
    <row customHeight="1" ht="11.25">
      <c r="A19" s="6501" t="s">
        <v>2259</v>
      </c>
      <c r="B19" s="6501" t="s">
        <v>16</v>
      </c>
      <c r="C19" s="6501" t="s">
        <v>2267</v>
      </c>
      <c r="D19" s="6501" t="s">
        <v>2268</v>
      </c>
      <c r="E19" s="6501" t="s">
        <v>2269</v>
      </c>
      <c r="F19" s="6501" t="s">
        <v>54</v>
      </c>
      <c r="G19" s="6501" t="s">
        <v>28</v>
      </c>
      <c r="H19" s="6501" t="s">
        <v>28</v>
      </c>
      <c r="I19" s="6501" t="s">
        <v>906</v>
      </c>
    </row>
    <row customHeight="1" ht="11.25">
      <c r="A20" s="6501" t="s">
        <v>2259</v>
      </c>
      <c r="B20" s="6501" t="s">
        <v>16</v>
      </c>
      <c r="C20" s="6501" t="s">
        <v>2270</v>
      </c>
      <c r="D20" s="6501" t="s">
        <v>2271</v>
      </c>
      <c r="E20" s="6501" t="s">
        <v>2272</v>
      </c>
      <c r="F20" s="6501" t="s">
        <v>54</v>
      </c>
      <c r="G20" s="6501" t="s">
        <v>28</v>
      </c>
      <c r="H20" s="6501" t="s">
        <v>28</v>
      </c>
      <c r="I20" s="6501" t="s">
        <v>906</v>
      </c>
    </row>
    <row customHeight="1" ht="11.25">
      <c r="A21" s="6501" t="s">
        <v>2259</v>
      </c>
      <c r="B21" s="6501" t="s">
        <v>16</v>
      </c>
      <c r="C21" s="6501" t="s">
        <v>2273</v>
      </c>
      <c r="D21" s="6501" t="s">
        <v>2274</v>
      </c>
      <c r="E21" s="6501" t="s">
        <v>2275</v>
      </c>
      <c r="F21" s="6501" t="s">
        <v>54</v>
      </c>
      <c r="G21" s="6501" t="s">
        <v>28</v>
      </c>
      <c r="H21" s="6501" t="s">
        <v>28</v>
      </c>
      <c r="I21" s="6501" t="s">
        <v>906</v>
      </c>
    </row>
    <row customHeight="1" ht="11.25">
      <c r="A22" s="6501" t="s">
        <v>2259</v>
      </c>
      <c r="B22" s="6501" t="s">
        <v>16</v>
      </c>
      <c r="C22" s="6501" t="s">
        <v>13</v>
      </c>
      <c r="D22" s="6501" t="s">
        <v>49</v>
      </c>
      <c r="E22" s="6501" t="s">
        <v>52</v>
      </c>
      <c r="F22" s="6501" t="s">
        <v>54</v>
      </c>
      <c r="G22" s="6501" t="s">
        <v>28</v>
      </c>
      <c r="H22" s="6501" t="s">
        <v>28</v>
      </c>
      <c r="I22" s="6501" t="s">
        <v>906</v>
      </c>
    </row>
    <row customHeight="1" ht="11.25">
      <c r="A23" s="6501" t="s">
        <v>2259</v>
      </c>
      <c r="B23" s="6501" t="s">
        <v>16</v>
      </c>
      <c r="C23" s="6501" t="s">
        <v>2279</v>
      </c>
      <c r="D23" s="6501" t="s">
        <v>2280</v>
      </c>
      <c r="E23" s="6501" t="s">
        <v>2281</v>
      </c>
      <c r="F23" s="6501" t="s">
        <v>54</v>
      </c>
      <c r="G23" s="6501" t="s">
        <v>2282</v>
      </c>
      <c r="H23" s="6501" t="s">
        <v>28</v>
      </c>
      <c r="I23" s="6501" t="s">
        <v>906</v>
      </c>
    </row>
    <row customHeight="1" ht="11.25">
      <c r="A24" s="6501" t="s">
        <v>2259</v>
      </c>
      <c r="B24" s="6501" t="s">
        <v>16</v>
      </c>
      <c r="C24" s="6501" t="s">
        <v>2283</v>
      </c>
      <c r="D24" s="6501" t="s">
        <v>2284</v>
      </c>
      <c r="E24" s="6501" t="s">
        <v>2285</v>
      </c>
      <c r="F24" s="6501" t="s">
        <v>2286</v>
      </c>
      <c r="G24" s="6501" t="s">
        <v>28</v>
      </c>
      <c r="H24" s="6501" t="s">
        <v>28</v>
      </c>
      <c r="I24" s="6501" t="s">
        <v>906</v>
      </c>
    </row>
    <row customHeight="1" ht="11.25">
      <c r="A25" s="6501" t="s">
        <v>2259</v>
      </c>
      <c r="B25" s="6501" t="s">
        <v>16</v>
      </c>
      <c r="C25" s="6501" t="s">
        <v>2294</v>
      </c>
      <c r="D25" s="6501" t="s">
        <v>2295</v>
      </c>
      <c r="E25" s="6501" t="s">
        <v>2262</v>
      </c>
      <c r="F25" s="6501" t="s">
        <v>2296</v>
      </c>
      <c r="G25" s="6501" t="s">
        <v>2297</v>
      </c>
      <c r="H25" s="6501" t="s">
        <v>28</v>
      </c>
      <c r="I25" s="6501" t="s">
        <v>906</v>
      </c>
    </row>
    <row customHeight="1" ht="11.25">
      <c r="A26" s="6501" t="s">
        <v>2259</v>
      </c>
      <c r="B26" s="6501" t="s">
        <v>16</v>
      </c>
      <c r="C26" s="6501" t="s">
        <v>28</v>
      </c>
      <c r="D26" s="6501" t="s">
        <v>2298</v>
      </c>
      <c r="E26" s="6501" t="s">
        <v>2299</v>
      </c>
      <c r="F26" s="6501" t="s">
        <v>54</v>
      </c>
      <c r="G26" s="6501" t="s">
        <v>28</v>
      </c>
      <c r="H26" s="6501" t="s">
        <v>28</v>
      </c>
      <c r="I26" s="6501" t="s">
        <v>906</v>
      </c>
    </row>
    <row customHeight="1" ht="11.25">
      <c r="A27" s="6501" t="s">
        <v>2259</v>
      </c>
      <c r="B27" s="6501" t="s">
        <v>16</v>
      </c>
      <c r="C27" s="6501" t="s">
        <v>2304</v>
      </c>
      <c r="D27" s="6501" t="s">
        <v>2305</v>
      </c>
      <c r="E27" s="6501" t="s">
        <v>2302</v>
      </c>
      <c r="F27" s="6501" t="s">
        <v>2306</v>
      </c>
      <c r="G27" s="6501" t="s">
        <v>2307</v>
      </c>
      <c r="H27" s="6501" t="s">
        <v>28</v>
      </c>
      <c r="I27" s="6501" t="s">
        <v>906</v>
      </c>
    </row>
    <row customHeight="1" ht="11.25">
      <c r="A28" s="6501" t="s">
        <v>2259</v>
      </c>
      <c r="B28" s="6501" t="s">
        <v>16</v>
      </c>
      <c r="C28" s="6501" t="s">
        <v>2260</v>
      </c>
      <c r="D28" s="6501" t="s">
        <v>2261</v>
      </c>
      <c r="E28" s="6501" t="s">
        <v>2262</v>
      </c>
      <c r="F28" s="6501" t="s">
        <v>2263</v>
      </c>
      <c r="G28" s="6501" t="s">
        <v>28</v>
      </c>
      <c r="H28" s="6501" t="s">
        <v>28</v>
      </c>
      <c r="I28" s="6501" t="s">
        <v>866</v>
      </c>
    </row>
    <row customHeight="1" ht="11.25">
      <c r="A29" s="6501" t="s">
        <v>2259</v>
      </c>
      <c r="B29" s="6501" t="s">
        <v>16</v>
      </c>
      <c r="C29" s="6501" t="s">
        <v>2267</v>
      </c>
      <c r="D29" s="6501" t="s">
        <v>2268</v>
      </c>
      <c r="E29" s="6501" t="s">
        <v>2269</v>
      </c>
      <c r="F29" s="6501" t="s">
        <v>54</v>
      </c>
      <c r="G29" s="6501" t="s">
        <v>28</v>
      </c>
      <c r="H29" s="6501" t="s">
        <v>28</v>
      </c>
      <c r="I29" s="6501" t="s">
        <v>866</v>
      </c>
    </row>
    <row customHeight="1" ht="11.25">
      <c r="A30" s="6501" t="s">
        <v>2259</v>
      </c>
      <c r="B30" s="6501" t="s">
        <v>16</v>
      </c>
      <c r="C30" s="6501" t="s">
        <v>2270</v>
      </c>
      <c r="D30" s="6501" t="s">
        <v>2271</v>
      </c>
      <c r="E30" s="6501" t="s">
        <v>2272</v>
      </c>
      <c r="F30" s="6501" t="s">
        <v>54</v>
      </c>
      <c r="G30" s="6501" t="s">
        <v>28</v>
      </c>
      <c r="H30" s="6501" t="s">
        <v>28</v>
      </c>
      <c r="I30" s="6501" t="s">
        <v>866</v>
      </c>
    </row>
    <row customHeight="1" ht="11.25">
      <c r="A31" s="6501" t="s">
        <v>2259</v>
      </c>
      <c r="B31" s="6501" t="s">
        <v>16</v>
      </c>
      <c r="C31" s="6501" t="s">
        <v>2308</v>
      </c>
      <c r="D31" s="6501" t="s">
        <v>2309</v>
      </c>
      <c r="E31" s="6501" t="s">
        <v>2310</v>
      </c>
      <c r="F31" s="6501" t="s">
        <v>54</v>
      </c>
      <c r="G31" s="6501" t="s">
        <v>28</v>
      </c>
      <c r="H31" s="6501" t="s">
        <v>28</v>
      </c>
      <c r="I31" s="6501" t="s">
        <v>866</v>
      </c>
    </row>
    <row customHeight="1" ht="11.25">
      <c r="A32" s="6501" t="s">
        <v>2259</v>
      </c>
      <c r="B32" s="6501" t="s">
        <v>16</v>
      </c>
      <c r="C32" s="6501" t="s">
        <v>2311</v>
      </c>
      <c r="D32" s="6501" t="s">
        <v>2312</v>
      </c>
      <c r="E32" s="6501" t="s">
        <v>2313</v>
      </c>
      <c r="F32" s="6501" t="s">
        <v>54</v>
      </c>
      <c r="G32" s="6501" t="s">
        <v>2314</v>
      </c>
      <c r="H32" s="6501" t="s">
        <v>28</v>
      </c>
      <c r="I32" s="6501" t="s">
        <v>866</v>
      </c>
    </row>
    <row customHeight="1" ht="11.25">
      <c r="A33" s="6501" t="s">
        <v>2259</v>
      </c>
      <c r="B33" s="6501" t="s">
        <v>16</v>
      </c>
      <c r="C33" s="6501" t="s">
        <v>2315</v>
      </c>
      <c r="D33" s="6501" t="s">
        <v>2316</v>
      </c>
      <c r="E33" s="6501" t="s">
        <v>2317</v>
      </c>
      <c r="F33" s="6501" t="s">
        <v>54</v>
      </c>
      <c r="G33" s="6501" t="s">
        <v>28</v>
      </c>
      <c r="H33" s="6501" t="s">
        <v>28</v>
      </c>
      <c r="I33" s="6501" t="s">
        <v>866</v>
      </c>
    </row>
    <row customHeight="1" ht="11.25">
      <c r="A34" s="6501" t="s">
        <v>2259</v>
      </c>
      <c r="B34" s="6501" t="s">
        <v>16</v>
      </c>
      <c r="C34" s="6501" t="s">
        <v>2318</v>
      </c>
      <c r="D34" s="6501" t="s">
        <v>2319</v>
      </c>
      <c r="E34" s="6501" t="s">
        <v>2320</v>
      </c>
      <c r="F34" s="6501" t="s">
        <v>54</v>
      </c>
      <c r="G34" s="6501" t="s">
        <v>2321</v>
      </c>
      <c r="H34" s="6501" t="s">
        <v>28</v>
      </c>
      <c r="I34" s="6501" t="s">
        <v>866</v>
      </c>
    </row>
    <row customHeight="1" ht="11.25">
      <c r="A35" s="6501" t="s">
        <v>2259</v>
      </c>
      <c r="B35" s="6501" t="s">
        <v>16</v>
      </c>
      <c r="C35" s="6501" t="s">
        <v>2273</v>
      </c>
      <c r="D35" s="6501" t="s">
        <v>2274</v>
      </c>
      <c r="E35" s="6501" t="s">
        <v>2275</v>
      </c>
      <c r="F35" s="6501" t="s">
        <v>54</v>
      </c>
      <c r="G35" s="6501" t="s">
        <v>28</v>
      </c>
      <c r="H35" s="6501" t="s">
        <v>28</v>
      </c>
      <c r="I35" s="6501" t="s">
        <v>866</v>
      </c>
    </row>
    <row customHeight="1" ht="11.25">
      <c r="A36" s="6501" t="s">
        <v>2259</v>
      </c>
      <c r="B36" s="6501" t="s">
        <v>16</v>
      </c>
      <c r="C36" s="6501" t="s">
        <v>2276</v>
      </c>
      <c r="D36" s="6501" t="s">
        <v>2277</v>
      </c>
      <c r="E36" s="6501" t="s">
        <v>2278</v>
      </c>
      <c r="F36" s="6501" t="s">
        <v>54</v>
      </c>
      <c r="G36" s="6501" t="s">
        <v>28</v>
      </c>
      <c r="H36" s="6501" t="s">
        <v>28</v>
      </c>
      <c r="I36" s="6501" t="s">
        <v>866</v>
      </c>
    </row>
    <row customHeight="1" ht="11.25">
      <c r="A37" s="6501" t="s">
        <v>2259</v>
      </c>
      <c r="B37" s="6501" t="s">
        <v>16</v>
      </c>
      <c r="C37" s="6501" t="s">
        <v>13</v>
      </c>
      <c r="D37" s="6501" t="s">
        <v>49</v>
      </c>
      <c r="E37" s="6501" t="s">
        <v>52</v>
      </c>
      <c r="F37" s="6501" t="s">
        <v>54</v>
      </c>
      <c r="G37" s="6501" t="s">
        <v>28</v>
      </c>
      <c r="H37" s="6501" t="s">
        <v>28</v>
      </c>
      <c r="I37" s="6501" t="s">
        <v>866</v>
      </c>
    </row>
    <row customHeight="1" ht="11.25">
      <c r="A38" s="6501" t="s">
        <v>2259</v>
      </c>
      <c r="B38" s="6501" t="s">
        <v>16</v>
      </c>
      <c r="C38" s="6501" t="s">
        <v>2283</v>
      </c>
      <c r="D38" s="6501" t="s">
        <v>2284</v>
      </c>
      <c r="E38" s="6501" t="s">
        <v>2285</v>
      </c>
      <c r="F38" s="6501" t="s">
        <v>2286</v>
      </c>
      <c r="G38" s="6501" t="s">
        <v>28</v>
      </c>
      <c r="H38" s="6501" t="s">
        <v>28</v>
      </c>
      <c r="I38" s="6501" t="s">
        <v>866</v>
      </c>
    </row>
    <row customHeight="1" ht="11.25">
      <c r="A39" s="6501" t="s">
        <v>2259</v>
      </c>
      <c r="B39" s="6501" t="s">
        <v>16</v>
      </c>
      <c r="C39" s="6501" t="s">
        <v>2291</v>
      </c>
      <c r="D39" s="6501" t="s">
        <v>2292</v>
      </c>
      <c r="E39" s="6501" t="s">
        <v>2293</v>
      </c>
      <c r="F39" s="6501" t="s">
        <v>54</v>
      </c>
      <c r="G39" s="6501" t="s">
        <v>28</v>
      </c>
      <c r="H39" s="6501" t="s">
        <v>28</v>
      </c>
      <c r="I39" s="6501" t="s">
        <v>866</v>
      </c>
    </row>
    <row customHeight="1" ht="11.25">
      <c r="A40" s="6501" t="s">
        <v>2259</v>
      </c>
      <c r="B40" s="6501" t="s">
        <v>16</v>
      </c>
      <c r="C40" s="6501" t="s">
        <v>2294</v>
      </c>
      <c r="D40" s="6501" t="s">
        <v>2295</v>
      </c>
      <c r="E40" s="6501" t="s">
        <v>2262</v>
      </c>
      <c r="F40" s="6501" t="s">
        <v>2296</v>
      </c>
      <c r="G40" s="6501" t="s">
        <v>2297</v>
      </c>
      <c r="H40" s="6501" t="s">
        <v>28</v>
      </c>
      <c r="I40" s="6501" t="s">
        <v>866</v>
      </c>
    </row>
    <row customHeight="1" ht="11.25">
      <c r="A41" s="6501" t="s">
        <v>2259</v>
      </c>
      <c r="B41" s="6501" t="s">
        <v>16</v>
      </c>
      <c r="C41" s="6501" t="s">
        <v>28</v>
      </c>
      <c r="D41" s="6501" t="s">
        <v>2298</v>
      </c>
      <c r="E41" s="6501" t="s">
        <v>2299</v>
      </c>
      <c r="F41" s="6501" t="s">
        <v>54</v>
      </c>
      <c r="G41" s="6501" t="s">
        <v>28</v>
      </c>
      <c r="H41" s="6501" t="s">
        <v>28</v>
      </c>
      <c r="I41" s="6501" t="s">
        <v>866</v>
      </c>
    </row>
    <row customHeight="1" ht="11.25">
      <c r="A42" s="6501" t="s">
        <v>2259</v>
      </c>
      <c r="B42" s="6501" t="s">
        <v>16</v>
      </c>
      <c r="C42" s="6501" t="s">
        <v>2300</v>
      </c>
      <c r="D42" s="6501" t="s">
        <v>2301</v>
      </c>
      <c r="E42" s="6501" t="s">
        <v>2302</v>
      </c>
      <c r="F42" s="6501" t="s">
        <v>2303</v>
      </c>
      <c r="G42" s="6501" t="s">
        <v>28</v>
      </c>
      <c r="H42" s="6501" t="s">
        <v>28</v>
      </c>
      <c r="I42" s="6501" t="s">
        <v>866</v>
      </c>
    </row>
    <row customHeight="1" ht="11.25">
      <c r="A43" s="6501" t="s">
        <v>2259</v>
      </c>
      <c r="B43" s="6501" t="s">
        <v>16</v>
      </c>
      <c r="C43" s="6501" t="s">
        <v>2304</v>
      </c>
      <c r="D43" s="6501" t="s">
        <v>2305</v>
      </c>
      <c r="E43" s="6501" t="s">
        <v>2302</v>
      </c>
      <c r="F43" s="6501" t="s">
        <v>2306</v>
      </c>
      <c r="G43" s="6501" t="s">
        <v>2307</v>
      </c>
      <c r="H43" s="6501" t="s">
        <v>28</v>
      </c>
      <c r="I43" s="6501" t="s">
        <v>866</v>
      </c>
    </row>
    <row customHeight="1" ht="11.25">
      <c r="A44" s="6501" t="s">
        <v>2259</v>
      </c>
      <c r="B44" s="6501" t="s">
        <v>16</v>
      </c>
      <c r="C44" s="6501" t="s">
        <v>2260</v>
      </c>
      <c r="D44" s="6501" t="s">
        <v>2261</v>
      </c>
      <c r="E44" s="6501" t="s">
        <v>2262</v>
      </c>
      <c r="F44" s="6501" t="s">
        <v>2263</v>
      </c>
      <c r="G44" s="6501" t="s">
        <v>28</v>
      </c>
      <c r="H44" s="6501" t="s">
        <v>28</v>
      </c>
      <c r="I44" s="6501" t="s">
        <v>919</v>
      </c>
    </row>
    <row customHeight="1" ht="11.25">
      <c r="A45" s="6501" t="s">
        <v>2259</v>
      </c>
      <c r="B45" s="6501" t="s">
        <v>16</v>
      </c>
      <c r="C45" s="6501" t="s">
        <v>2318</v>
      </c>
      <c r="D45" s="6501" t="s">
        <v>2319</v>
      </c>
      <c r="E45" s="6501" t="s">
        <v>2320</v>
      </c>
      <c r="F45" s="6501" t="s">
        <v>54</v>
      </c>
      <c r="G45" s="6501" t="s">
        <v>2321</v>
      </c>
      <c r="H45" s="6501" t="s">
        <v>28</v>
      </c>
      <c r="I45" s="6501" t="s">
        <v>919</v>
      </c>
    </row>
    <row customHeight="1" ht="11.25">
      <c r="A46" s="6501" t="s">
        <v>2259</v>
      </c>
      <c r="B46" s="6501" t="s">
        <v>16</v>
      </c>
      <c r="C46" s="6501" t="s">
        <v>2273</v>
      </c>
      <c r="D46" s="6501" t="s">
        <v>2274</v>
      </c>
      <c r="E46" s="6501" t="s">
        <v>2275</v>
      </c>
      <c r="F46" s="6501" t="s">
        <v>54</v>
      </c>
      <c r="G46" s="6501" t="s">
        <v>28</v>
      </c>
      <c r="H46" s="6501" t="s">
        <v>28</v>
      </c>
      <c r="I46" s="6501" t="s">
        <v>919</v>
      </c>
    </row>
    <row customHeight="1" ht="11.25">
      <c r="A47" s="6501" t="s">
        <v>2259</v>
      </c>
      <c r="B47" s="6501" t="s">
        <v>16</v>
      </c>
      <c r="C47" s="6501" t="s">
        <v>13</v>
      </c>
      <c r="D47" s="6501" t="s">
        <v>49</v>
      </c>
      <c r="E47" s="6501" t="s">
        <v>52</v>
      </c>
      <c r="F47" s="6501" t="s">
        <v>54</v>
      </c>
      <c r="G47" s="6501" t="s">
        <v>28</v>
      </c>
      <c r="H47" s="6501" t="s">
        <v>28</v>
      </c>
      <c r="I47" s="6501" t="s">
        <v>919</v>
      </c>
    </row>
    <row customHeight="1" ht="11.25">
      <c r="A48" s="6501" t="s">
        <v>2259</v>
      </c>
      <c r="B48" s="6501" t="s">
        <v>16</v>
      </c>
      <c r="C48" s="6501" t="s">
        <v>2283</v>
      </c>
      <c r="D48" s="6501" t="s">
        <v>2284</v>
      </c>
      <c r="E48" s="6501" t="s">
        <v>2285</v>
      </c>
      <c r="F48" s="6501" t="s">
        <v>2286</v>
      </c>
      <c r="G48" s="6501" t="s">
        <v>28</v>
      </c>
      <c r="H48" s="6501" t="s">
        <v>28</v>
      </c>
      <c r="I48" s="6501" t="s">
        <v>919</v>
      </c>
    </row>
    <row customHeight="1" ht="11.25">
      <c r="A49" s="6501" t="s">
        <v>2259</v>
      </c>
      <c r="B49" s="6501" t="s">
        <v>16</v>
      </c>
      <c r="C49" s="6501" t="s">
        <v>2294</v>
      </c>
      <c r="D49" s="6501" t="s">
        <v>2295</v>
      </c>
      <c r="E49" s="6501" t="s">
        <v>2262</v>
      </c>
      <c r="F49" s="6501" t="s">
        <v>2296</v>
      </c>
      <c r="G49" s="6501" t="s">
        <v>2297</v>
      </c>
      <c r="H49" s="6501" t="s">
        <v>28</v>
      </c>
      <c r="I49" s="6501" t="s">
        <v>919</v>
      </c>
    </row>
    <row customHeight="1" ht="11.25">
      <c r="A50" s="6501" t="s">
        <v>2259</v>
      </c>
      <c r="B50" s="6501" t="s">
        <v>16</v>
      </c>
      <c r="C50" s="6501" t="s">
        <v>28</v>
      </c>
      <c r="D50" s="6501" t="s">
        <v>2298</v>
      </c>
      <c r="E50" s="6501" t="s">
        <v>2299</v>
      </c>
      <c r="F50" s="6501" t="s">
        <v>54</v>
      </c>
      <c r="G50" s="6501" t="s">
        <v>28</v>
      </c>
      <c r="H50" s="6501" t="s">
        <v>28</v>
      </c>
      <c r="I50" s="6501" t="s">
        <v>919</v>
      </c>
    </row>
    <row customHeight="1" ht="11.25">
      <c r="A51" s="6501" t="s">
        <v>2259</v>
      </c>
      <c r="B51" s="6501" t="s">
        <v>16</v>
      </c>
      <c r="C51" s="6501" t="s">
        <v>2322</v>
      </c>
      <c r="D51" s="6501" t="s">
        <v>2323</v>
      </c>
      <c r="E51" s="6501" t="s">
        <v>2324</v>
      </c>
      <c r="F51" s="6501" t="s">
        <v>2325</v>
      </c>
      <c r="G51" s="6501" t="s">
        <v>28</v>
      </c>
      <c r="H51" s="6501" t="s">
        <v>28</v>
      </c>
      <c r="I51" s="6501" t="s">
        <v>1632</v>
      </c>
    </row>
    <row customHeight="1" ht="11.25">
      <c r="A52" s="6501" t="s">
        <v>2259</v>
      </c>
      <c r="B52" s="6501" t="s">
        <v>16</v>
      </c>
      <c r="C52" s="6501" t="s">
        <v>2326</v>
      </c>
      <c r="D52" s="6501" t="s">
        <v>2327</v>
      </c>
      <c r="E52" s="6501" t="s">
        <v>2328</v>
      </c>
      <c r="F52" s="6501" t="s">
        <v>588</v>
      </c>
      <c r="G52" s="6501" t="s">
        <v>2329</v>
      </c>
      <c r="H52" s="6501" t="s">
        <v>28</v>
      </c>
      <c r="I52" s="6501" t="s">
        <v>1632</v>
      </c>
    </row>
    <row customHeight="1" ht="11.25">
      <c r="A53" s="6501" t="s">
        <v>2259</v>
      </c>
      <c r="B53" s="6501" t="s">
        <v>16</v>
      </c>
      <c r="C53" s="6501" t="s">
        <v>2273</v>
      </c>
      <c r="D53" s="6501" t="s">
        <v>2274</v>
      </c>
      <c r="E53" s="6501" t="s">
        <v>2275</v>
      </c>
      <c r="F53" s="6501" t="s">
        <v>54</v>
      </c>
      <c r="G53" s="6501" t="s">
        <v>28</v>
      </c>
      <c r="H53" s="6501" t="s">
        <v>28</v>
      </c>
      <c r="I53" s="6501" t="s">
        <v>1632</v>
      </c>
    </row>
    <row customHeight="1" ht="11.25">
      <c r="A54" s="6501" t="s">
        <v>2259</v>
      </c>
      <c r="B54" s="6501" t="s">
        <v>16</v>
      </c>
      <c r="C54" s="6501" t="s">
        <v>2330</v>
      </c>
      <c r="D54" s="6501" t="s">
        <v>2331</v>
      </c>
      <c r="E54" s="6501" t="s">
        <v>2332</v>
      </c>
      <c r="F54" s="6501" t="s">
        <v>54</v>
      </c>
      <c r="G54" s="6501" t="s">
        <v>2333</v>
      </c>
      <c r="H54" s="6501" t="s">
        <v>28</v>
      </c>
      <c r="I54" s="6501" t="s">
        <v>1632</v>
      </c>
    </row>
    <row customHeight="1" ht="11.25">
      <c r="A55" s="6501" t="s">
        <v>2259</v>
      </c>
      <c r="B55" s="6501" t="s">
        <v>16</v>
      </c>
      <c r="C55" s="6501" t="s">
        <v>2334</v>
      </c>
      <c r="D55" s="6501" t="s">
        <v>2335</v>
      </c>
      <c r="E55" s="6501" t="s">
        <v>2336</v>
      </c>
      <c r="F55" s="6501" t="s">
        <v>54</v>
      </c>
      <c r="G55" s="6501" t="s">
        <v>28</v>
      </c>
      <c r="H55" s="6501" t="s">
        <v>28</v>
      </c>
      <c r="I55" s="6501" t="s">
        <v>1632</v>
      </c>
    </row>
    <row customHeight="1" ht="11.25">
      <c r="A56" s="6501" t="s">
        <v>2259</v>
      </c>
      <c r="B56" s="6501" t="s">
        <v>16</v>
      </c>
      <c r="C56" s="6501" t="s">
        <v>28</v>
      </c>
      <c r="D56" s="6501" t="s">
        <v>2298</v>
      </c>
      <c r="E56" s="6501" t="s">
        <v>2299</v>
      </c>
      <c r="F56" s="6501" t="s">
        <v>54</v>
      </c>
      <c r="G56" s="6501" t="s">
        <v>28</v>
      </c>
      <c r="H56" s="6501" t="s">
        <v>28</v>
      </c>
      <c r="I56" s="650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AC529-9DD1-25FB-D6AC-0.C5338478}" mc:Ignorable="x14ac xr xr2 xr3">
  <sheetPr>
    <tabColor rgb="FFFFCC99"/>
  </sheetPr>
  <dimension ref="A1:G23"/>
  <sheetViews>
    <sheetView topLeftCell="A1" showGridLines="0" workbookViewId="0">
      <selection activeCell="A1" sqref="A1"/>
    </sheetView>
  </sheetViews>
  <sheetFormatPr customHeight="1" defaultRowHeight="11.25"/>
  <cols>
    <col min="1" max="1" style="6516" width="9.140625"/>
  </cols>
  <sheetData>
    <row customHeight="1" ht="11.25">
      <c r="A1" s="438" t="s">
        <v>2337</v>
      </c>
      <c r="B1" s="127" t="s">
        <v>2338</v>
      </c>
      <c r="C1" s="127" t="s">
        <v>2339</v>
      </c>
      <c r="D1" s="127" t="s">
        <v>2340</v>
      </c>
      <c r="E1" s="65" t="s">
        <v>2341</v>
      </c>
      <c r="F1" s="65" t="s">
        <v>2342</v>
      </c>
      <c r="G1" s="65" t="s">
        <v>2343</v>
      </c>
    </row>
    <row customHeight="1" ht="11.25">
      <c r="A2" s="438" t="s">
        <v>16</v>
      </c>
      <c r="B2" s="0" t="s">
        <v>2344</v>
      </c>
      <c r="C2" s="0" t="s">
        <v>2345</v>
      </c>
      <c r="D2" s="0" t="s">
        <v>2344</v>
      </c>
      <c r="E2" s="0" t="s">
        <v>2345</v>
      </c>
      <c r="F2" s="0" t="s">
        <v>2346</v>
      </c>
      <c r="G2" s="0" t="s">
        <v>112</v>
      </c>
    </row>
    <row customHeight="1" ht="11.25">
      <c r="A3" s="438" t="s">
        <v>16</v>
      </c>
      <c r="B3" s="0" t="s">
        <v>2344</v>
      </c>
      <c r="C3" s="0" t="s">
        <v>2345</v>
      </c>
      <c r="D3" s="0" t="s">
        <v>2347</v>
      </c>
      <c r="E3" s="0" t="s">
        <v>2348</v>
      </c>
      <c r="F3" s="0" t="s">
        <v>2349</v>
      </c>
      <c r="G3" s="0" t="s">
        <v>113</v>
      </c>
    </row>
    <row customHeight="1" ht="11.25">
      <c r="A4" s="438" t="s">
        <v>16</v>
      </c>
      <c r="B4" s="0" t="s">
        <v>2344</v>
      </c>
      <c r="C4" s="0" t="s">
        <v>2345</v>
      </c>
      <c r="D4" s="0" t="s">
        <v>2350</v>
      </c>
      <c r="E4" s="0" t="s">
        <v>2351</v>
      </c>
      <c r="F4" s="0" t="s">
        <v>2349</v>
      </c>
      <c r="G4" s="0" t="s">
        <v>93</v>
      </c>
    </row>
    <row customHeight="1" ht="11.25">
      <c r="A5" s="438" t="s">
        <v>16</v>
      </c>
      <c r="B5" s="0" t="s">
        <v>2344</v>
      </c>
      <c r="C5" s="0" t="s">
        <v>2345</v>
      </c>
      <c r="D5" s="0" t="s">
        <v>2352</v>
      </c>
      <c r="E5" s="0" t="s">
        <v>2353</v>
      </c>
      <c r="F5" s="0" t="s">
        <v>2349</v>
      </c>
      <c r="G5" s="0" t="s">
        <v>94</v>
      </c>
    </row>
    <row customHeight="1" ht="11.25">
      <c r="A6" s="438" t="s">
        <v>16</v>
      </c>
      <c r="B6" s="0" t="s">
        <v>2344</v>
      </c>
      <c r="C6" s="0" t="s">
        <v>2345</v>
      </c>
      <c r="D6" s="0" t="s">
        <v>2354</v>
      </c>
      <c r="E6" s="0" t="s">
        <v>2355</v>
      </c>
      <c r="F6" s="0" t="s">
        <v>2349</v>
      </c>
      <c r="G6" s="0" t="s">
        <v>114</v>
      </c>
    </row>
    <row customHeight="1" ht="11.25">
      <c r="A7" s="438" t="s">
        <v>16</v>
      </c>
      <c r="B7" s="0" t="s">
        <v>2344</v>
      </c>
      <c r="C7" s="0" t="s">
        <v>2345</v>
      </c>
      <c r="D7" s="0" t="s">
        <v>2356</v>
      </c>
      <c r="E7" s="0" t="s">
        <v>2357</v>
      </c>
      <c r="F7" s="0" t="s">
        <v>2349</v>
      </c>
      <c r="G7" s="0" t="s">
        <v>95</v>
      </c>
    </row>
    <row customHeight="1" ht="11.25">
      <c r="A8" s="438" t="s">
        <v>16</v>
      </c>
      <c r="B8" s="0" t="s">
        <v>2344</v>
      </c>
      <c r="C8" s="0" t="s">
        <v>2345</v>
      </c>
      <c r="D8" s="0" t="s">
        <v>2358</v>
      </c>
      <c r="E8" s="0" t="s">
        <v>2359</v>
      </c>
      <c r="F8" s="0" t="s">
        <v>2349</v>
      </c>
      <c r="G8" s="0" t="s">
        <v>96</v>
      </c>
    </row>
    <row customHeight="1" ht="11.25">
      <c r="A9" s="438" t="s">
        <v>16</v>
      </c>
      <c r="B9" s="0" t="s">
        <v>2344</v>
      </c>
      <c r="C9" s="0" t="s">
        <v>2345</v>
      </c>
      <c r="D9" s="0" t="s">
        <v>2360</v>
      </c>
      <c r="E9" s="0" t="s">
        <v>2361</v>
      </c>
      <c r="F9" s="0" t="s">
        <v>2349</v>
      </c>
      <c r="G9" s="0" t="s">
        <v>115</v>
      </c>
    </row>
    <row customHeight="1" ht="11.25">
      <c r="A10" s="438" t="s">
        <v>16</v>
      </c>
      <c r="B10" s="0" t="s">
        <v>2344</v>
      </c>
      <c r="C10" s="0" t="s">
        <v>2345</v>
      </c>
      <c r="D10" s="0" t="s">
        <v>2362</v>
      </c>
      <c r="E10" s="0" t="s">
        <v>2363</v>
      </c>
      <c r="F10" s="0" t="s">
        <v>2364</v>
      </c>
      <c r="G10" s="0" t="s">
        <v>151</v>
      </c>
    </row>
    <row customHeight="1" ht="11.25">
      <c r="A11" s="438" t="s">
        <v>16</v>
      </c>
      <c r="B11" s="0" t="s">
        <v>2344</v>
      </c>
      <c r="C11" s="0" t="s">
        <v>2345</v>
      </c>
      <c r="D11" s="0" t="s">
        <v>2365</v>
      </c>
      <c r="E11" s="0" t="s">
        <v>2366</v>
      </c>
      <c r="F11" s="0" t="s">
        <v>2349</v>
      </c>
      <c r="G11" s="0" t="s">
        <v>152</v>
      </c>
    </row>
    <row customHeight="1" ht="11.25">
      <c r="A12" s="438" t="s">
        <v>16</v>
      </c>
      <c r="B12" s="0" t="s">
        <v>2344</v>
      </c>
      <c r="C12" s="0" t="s">
        <v>2345</v>
      </c>
      <c r="D12" s="0" t="s">
        <v>2367</v>
      </c>
      <c r="E12" s="0" t="s">
        <v>2368</v>
      </c>
      <c r="F12" s="0" t="s">
        <v>2349</v>
      </c>
      <c r="G12" s="0" t="s">
        <v>153</v>
      </c>
    </row>
    <row customHeight="1" ht="11.25">
      <c r="A13" s="438" t="s">
        <v>16</v>
      </c>
      <c r="B13" s="0" t="s">
        <v>2344</v>
      </c>
      <c r="C13" s="0" t="s">
        <v>2345</v>
      </c>
      <c r="D13" s="0" t="s">
        <v>2369</v>
      </c>
      <c r="E13" s="0" t="s">
        <v>2370</v>
      </c>
      <c r="F13" s="0" t="s">
        <v>2349</v>
      </c>
      <c r="G13" s="0" t="s">
        <v>154</v>
      </c>
    </row>
    <row customHeight="1" ht="11.25">
      <c r="A14" s="438" t="s">
        <v>16</v>
      </c>
      <c r="B14" s="0" t="s">
        <v>2344</v>
      </c>
      <c r="C14" s="0" t="s">
        <v>2345</v>
      </c>
      <c r="D14" s="0" t="s">
        <v>2371</v>
      </c>
      <c r="E14" s="0" t="s">
        <v>2372</v>
      </c>
      <c r="F14" s="0" t="s">
        <v>2349</v>
      </c>
      <c r="G14" s="0" t="s">
        <v>155</v>
      </c>
    </row>
    <row customHeight="1" ht="11.25">
      <c r="A15" s="438" t="s">
        <v>16</v>
      </c>
      <c r="B15" s="0" t="s">
        <v>2344</v>
      </c>
      <c r="C15" s="0" t="s">
        <v>2345</v>
      </c>
      <c r="D15" s="0" t="s">
        <v>2373</v>
      </c>
      <c r="E15" s="0" t="s">
        <v>2374</v>
      </c>
      <c r="F15" s="0" t="s">
        <v>2349</v>
      </c>
      <c r="G15" s="0" t="s">
        <v>156</v>
      </c>
    </row>
    <row customHeight="1" ht="11.25">
      <c r="A16" s="438" t="s">
        <v>16</v>
      </c>
      <c r="B16" s="0" t="s">
        <v>2344</v>
      </c>
      <c r="C16" s="0" t="s">
        <v>2345</v>
      </c>
      <c r="D16" s="0" t="s">
        <v>2375</v>
      </c>
      <c r="E16" s="0" t="s">
        <v>2376</v>
      </c>
      <c r="F16" s="0" t="s">
        <v>2377</v>
      </c>
      <c r="G16" s="0" t="s">
        <v>1478</v>
      </c>
    </row>
    <row customHeight="1" ht="11.25">
      <c r="A17" s="438" t="s">
        <v>16</v>
      </c>
      <c r="B17" s="0" t="s">
        <v>2344</v>
      </c>
      <c r="C17" s="0" t="s">
        <v>2345</v>
      </c>
      <c r="D17" s="0" t="s">
        <v>2378</v>
      </c>
      <c r="E17" s="0" t="s">
        <v>2379</v>
      </c>
      <c r="F17" s="0" t="s">
        <v>2349</v>
      </c>
      <c r="G17" s="0" t="s">
        <v>1484</v>
      </c>
    </row>
    <row customHeight="1" ht="11.25">
      <c r="A18" s="438" t="s">
        <v>16</v>
      </c>
      <c r="B18" s="0" t="s">
        <v>2344</v>
      </c>
      <c r="C18" s="0" t="s">
        <v>2345</v>
      </c>
      <c r="D18" s="0" t="s">
        <v>2380</v>
      </c>
      <c r="E18" s="0" t="s">
        <v>2381</v>
      </c>
      <c r="F18" s="0" t="s">
        <v>2349</v>
      </c>
      <c r="G18" s="0" t="s">
        <v>1496</v>
      </c>
    </row>
    <row customHeight="1" ht="11.25">
      <c r="A19" s="438" t="s">
        <v>16</v>
      </c>
      <c r="B19" s="0" t="s">
        <v>2344</v>
      </c>
      <c r="C19" s="0" t="s">
        <v>2345</v>
      </c>
      <c r="D19" s="0" t="s">
        <v>2382</v>
      </c>
      <c r="E19" s="0" t="s">
        <v>2383</v>
      </c>
      <c r="F19" s="0" t="s">
        <v>2349</v>
      </c>
      <c r="G19" s="0" t="s">
        <v>1510</v>
      </c>
    </row>
    <row customHeight="1" ht="11.25">
      <c r="A20" s="438" t="s">
        <v>16</v>
      </c>
      <c r="B20" s="0" t="s">
        <v>2344</v>
      </c>
      <c r="C20" s="0" t="s">
        <v>2345</v>
      </c>
      <c r="D20" s="0" t="s">
        <v>2384</v>
      </c>
      <c r="E20" s="0" t="s">
        <v>2385</v>
      </c>
      <c r="F20" s="0" t="s">
        <v>2349</v>
      </c>
      <c r="G20" s="0" t="s">
        <v>1522</v>
      </c>
    </row>
    <row customHeight="1" ht="11.25">
      <c r="A21" s="438" t="s">
        <v>16</v>
      </c>
      <c r="B21" s="0" t="s">
        <v>2344</v>
      </c>
      <c r="C21" s="0" t="s">
        <v>2345</v>
      </c>
      <c r="D21" s="0" t="s">
        <v>2386</v>
      </c>
      <c r="E21" s="0" t="s">
        <v>2387</v>
      </c>
      <c r="F21" s="0" t="s">
        <v>2349</v>
      </c>
      <c r="G21" s="0" t="s">
        <v>1531</v>
      </c>
    </row>
    <row customHeight="1" ht="11.25">
      <c r="A22" s="438" t="s">
        <v>16</v>
      </c>
      <c r="B22" s="0" t="s">
        <v>2344</v>
      </c>
      <c r="C22" s="0" t="s">
        <v>2345</v>
      </c>
      <c r="D22" s="0" t="s">
        <v>2388</v>
      </c>
      <c r="E22" s="0" t="s">
        <v>2389</v>
      </c>
      <c r="F22" s="0" t="s">
        <v>2349</v>
      </c>
      <c r="G22" s="0" t="s">
        <v>1547</v>
      </c>
    </row>
    <row customHeight="1" ht="11.25">
      <c r="A23" s="438" t="s">
        <v>16</v>
      </c>
      <c r="B23" s="0" t="s">
        <v>103</v>
      </c>
      <c r="C23" s="0" t="s">
        <v>104</v>
      </c>
      <c r="D23" s="0" t="s">
        <v>103</v>
      </c>
      <c r="E23" s="0" t="s">
        <v>104</v>
      </c>
      <c r="F23" s="0" t="s">
        <v>2390</v>
      </c>
      <c r="G23" s="0" t="s">
        <v>102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CB67-CA8C-F14B-33D5-0.4EE58DD6}"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6512" width="13.8515625" customWidth="1"/>
    <col min="2" max="2" style="6512" width="10.421875" customWidth="1"/>
    <col min="3" max="3" style="6512" width="7.57421875" customWidth="1"/>
    <col min="4" max="4" style="6512" width="13.8515625" customWidth="1"/>
    <col min="5" max="5" style="6512" width="11.57421875" customWidth="1"/>
    <col min="6" max="6" style="6512" width="16.28125" customWidth="1"/>
    <col min="7" max="7" style="6512" width="16.00390625" customWidth="1"/>
    <col min="8" max="9" style="6512" width="16.140625" customWidth="1"/>
  </cols>
  <sheetData>
    <row customHeight="1" ht="11.25">
      <c r="A1" s="900" t="s">
        <v>2391</v>
      </c>
      <c r="B1" s="900" t="s">
        <v>2392</v>
      </c>
      <c r="C1" s="1224" t="s">
        <v>2393</v>
      </c>
      <c r="D1" s="900" t="s">
        <v>2394</v>
      </c>
      <c r="E1" s="900" t="s">
        <v>2395</v>
      </c>
      <c r="F1" s="1224" t="s">
        <v>2396</v>
      </c>
      <c r="G1" s="1224" t="s">
        <v>2397</v>
      </c>
      <c r="H1" s="1224" t="s">
        <v>2398</v>
      </c>
      <c r="I1" s="1224" t="s">
        <v>2399</v>
      </c>
    </row>
    <row customHeight="1" ht="11.25">
      <c r="A2" s="6503" t="s">
        <v>112</v>
      </c>
      <c r="B2" s="6503" t="s">
        <v>2400</v>
      </c>
      <c r="C2" s="6503" t="s">
        <v>28</v>
      </c>
      <c r="D2" s="6503" t="s">
        <v>2401</v>
      </c>
      <c r="E2" s="6503" t="s">
        <v>2402</v>
      </c>
      <c r="F2" s="6503" t="s">
        <v>28</v>
      </c>
      <c r="G2" s="6503" t="s">
        <v>28</v>
      </c>
      <c r="H2" s="6503" t="s">
        <v>28</v>
      </c>
      <c r="I2" s="6503" t="s">
        <v>28</v>
      </c>
    </row>
    <row customHeight="1" ht="11.25">
      <c r="A3" s="6503" t="s">
        <v>113</v>
      </c>
      <c r="B3" s="6503" t="s">
        <v>2403</v>
      </c>
      <c r="C3" s="6503" t="s">
        <v>28</v>
      </c>
      <c r="D3" s="6503" t="s">
        <v>2404</v>
      </c>
      <c r="E3" s="6503" t="s">
        <v>2402</v>
      </c>
      <c r="F3" s="6503" t="s">
        <v>28</v>
      </c>
      <c r="G3" s="6503" t="s">
        <v>28</v>
      </c>
      <c r="H3" s="6503" t="s">
        <v>28</v>
      </c>
      <c r="I3" s="6503" t="s">
        <v>28</v>
      </c>
    </row>
    <row customHeight="1" ht="11.25">
      <c r="A4" s="6503" t="s">
        <v>93</v>
      </c>
      <c r="B4" s="6503" t="s">
        <v>2405</v>
      </c>
      <c r="C4" s="6503" t="s">
        <v>28</v>
      </c>
      <c r="D4" s="6503" t="s">
        <v>2406</v>
      </c>
      <c r="E4" s="6503" t="s">
        <v>2402</v>
      </c>
      <c r="F4" s="6503" t="s">
        <v>28</v>
      </c>
      <c r="G4" s="6503" t="s">
        <v>28</v>
      </c>
      <c r="H4" s="6503" t="s">
        <v>28</v>
      </c>
      <c r="I4" s="6503" t="s">
        <v>28</v>
      </c>
    </row>
    <row customHeight="1" ht="11.25">
      <c r="A5" s="6503" t="s">
        <v>94</v>
      </c>
      <c r="B5" s="6503" t="s">
        <v>2407</v>
      </c>
      <c r="C5" s="6503" t="s">
        <v>28</v>
      </c>
      <c r="D5" s="6503" t="s">
        <v>2408</v>
      </c>
      <c r="E5" s="6503" t="s">
        <v>2402</v>
      </c>
      <c r="F5" s="6503" t="s">
        <v>28</v>
      </c>
      <c r="G5" s="6503" t="s">
        <v>28</v>
      </c>
      <c r="H5" s="6503" t="s">
        <v>28</v>
      </c>
      <c r="I5" s="6503" t="s">
        <v>28</v>
      </c>
    </row>
    <row customHeight="1" ht="11.25">
      <c r="A6" s="6503" t="s">
        <v>114</v>
      </c>
      <c r="B6" s="6503" t="s">
        <v>2409</v>
      </c>
      <c r="C6" s="6503" t="s">
        <v>28</v>
      </c>
      <c r="D6" s="6503" t="s">
        <v>2410</v>
      </c>
      <c r="E6" s="6503" t="s">
        <v>2411</v>
      </c>
      <c r="F6" s="6503" t="s">
        <v>28</v>
      </c>
      <c r="G6" s="6503" t="s">
        <v>28</v>
      </c>
      <c r="H6" s="6503" t="s">
        <v>28</v>
      </c>
      <c r="I6" s="650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E92C4-E185-C12A-012E-0.1042EF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E48A7-CBE7-5F54-231D-0.ACFC304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6040" width="9.140625" hidden="1" customWidth="1"/>
    <col min="2" max="2" style="5796" width="9.140625" hidden="1" customWidth="1"/>
    <col min="3" max="3" style="6091" width="3.00390625" customWidth="1"/>
    <col min="4" max="4" style="5796" width="5.00390625" customWidth="1"/>
    <col min="5" max="5" style="5796" width="48.00390625" customWidth="1"/>
    <col min="6" max="6" style="5796" width="38.00390625" customWidth="1"/>
    <col min="7" max="7" style="5796" width="1.7109375" hidden="1" customWidth="1"/>
    <col min="8" max="11" style="5796" width="19.8515625" customWidth="1"/>
    <col min="12" max="12" style="5796" width="9.7109375" customWidth="1"/>
    <col min="13" max="18" style="5796" width="19.8515625" customWidth="1"/>
    <col min="19" max="19" style="5796" width="1.7109375" hidden="1" customWidth="1"/>
    <col min="20" max="22" style="5796" width="19.8515625" hidden="1" customWidth="1"/>
    <col min="23" max="23" style="5796" width="1.7109375" hidden="1" customWidth="1"/>
    <col min="24" max="26" style="5796" width="19.8515625" hidden="1" customWidth="1"/>
    <col min="27" max="27" style="5796" width="1.7109375" hidden="1" customWidth="1"/>
    <col min="28" max="29" style="5796" width="19.8515625" hidden="1" customWidth="1"/>
    <col min="30" max="30" style="5796" width="1.7109375" hidden="1" customWidth="1"/>
    <col min="31" max="31" style="5796" width="103.7109375" customWidth="1"/>
    <col min="32" max="34" style="5796" width="103.7109375" hidden="1" customWidth="1"/>
    <col min="35" max="35" style="3562" width="3.00390625" customWidth="1"/>
    <col min="36" max="38" style="5305" width="10.00390625" customWidth="1"/>
    <col min="39" max="39" style="5305" width="13.7109375" hidden="1" customWidth="1"/>
    <col min="40" max="40" style="5305" width="15.00390625" customWidth="1"/>
    <col min="41" max="41" style="5305" width="16.00390625" customWidth="1"/>
    <col min="42" max="45" style="5305" width="10.00390625" customWidth="1"/>
    <col min="46" max="46" style="5796" width="10.57421875" hidden="1"/>
  </cols>
  <sheetData>
    <row customHeight="1" ht="22.5" hidden="1">
      <c r="E1" s="477"/>
      <c r="F1" s="477"/>
      <c r="G1" s="477"/>
      <c r="H1" s="2282" t="s">
        <v>361</v>
      </c>
      <c r="I1" s="2282"/>
      <c r="J1" s="2282"/>
      <c r="K1" s="2282"/>
      <c r="L1" s="2282"/>
      <c r="M1" s="2282"/>
      <c r="N1" s="2282"/>
      <c r="O1" s="2282"/>
      <c r="P1" s="2282"/>
      <c r="Q1" s="2282"/>
      <c r="R1" s="2282"/>
      <c r="T1" s="2282" t="s">
        <v>362</v>
      </c>
      <c r="U1" s="2282"/>
      <c r="V1" s="2282"/>
      <c r="X1" s="2282" t="s">
        <v>363</v>
      </c>
      <c r="Y1" s="2282"/>
      <c r="Z1" s="2282"/>
      <c r="AB1" s="2282" t="s">
        <v>364</v>
      </c>
      <c r="AC1" s="2282"/>
      <c r="AT1" s="512" t="s">
        <v>14</v>
      </c>
    </row>
    <row customHeight="1" ht="14.25" hidden="1">
      <c r="AT2" s="512">
        <v>0</v>
      </c>
    </row>
    <row s="3500" customFormat="1" customHeight="1" ht="5.25">
      <c r="C3" s="766"/>
      <c r="D3" s="767"/>
      <c r="E3" s="767"/>
      <c r="F3" s="767"/>
      <c r="G3" s="767"/>
      <c r="H3" s="767" t="s">
        <v>365</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5796" customFormat="1" customHeight="1" ht="18">
      <c r="A5" s="824"/>
      <c r="C5" s="887"/>
      <c r="D5" s="2279" t="str">
        <f>IF(org=0,"Не определено",org)</f>
        <v>Нарьян-Марское МУ ПОКиТС</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51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309</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310</v>
      </c>
      <c r="AF7" s="2288" t="s">
        <v>310</v>
      </c>
      <c r="AG7" s="2288" t="s">
        <v>310</v>
      </c>
      <c r="AH7" s="2288" t="s">
        <v>310</v>
      </c>
      <c r="AT7" s="512">
        <v>14</v>
      </c>
    </row>
    <row customHeight="1" ht="27.299999999999997">
      <c r="C8" s="515"/>
      <c r="D8" s="2192" t="s">
        <v>91</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366</v>
      </c>
      <c r="I8" s="2291" t="s">
        <v>367</v>
      </c>
      <c r="J8" s="2288" t="s">
        <v>368</v>
      </c>
      <c r="K8" s="2288"/>
      <c r="L8" s="2288"/>
      <c r="M8" s="2283"/>
      <c r="N8" s="2288" t="s">
        <v>369</v>
      </c>
      <c r="O8" s="2288"/>
      <c r="P8" s="2288" t="s">
        <v>370</v>
      </c>
      <c r="Q8" s="2288"/>
      <c r="R8" s="2295" t="s">
        <v>371</v>
      </c>
      <c r="S8" s="889"/>
      <c r="T8" s="2293" t="s">
        <v>372</v>
      </c>
      <c r="U8" s="2293" t="s">
        <v>373</v>
      </c>
      <c r="V8" s="2293" t="s">
        <v>374</v>
      </c>
      <c r="W8" s="891"/>
      <c r="X8" s="2293" t="s">
        <v>375</v>
      </c>
      <c r="Y8" s="2293" t="s">
        <v>376</v>
      </c>
      <c r="Z8" s="2293" t="s">
        <v>377</v>
      </c>
      <c r="AA8" s="891"/>
      <c r="AB8" s="2293" t="s">
        <v>378</v>
      </c>
      <c r="AC8" s="2293" t="s">
        <v>371</v>
      </c>
      <c r="AD8" s="891"/>
      <c r="AE8" s="2288"/>
      <c r="AF8" s="2288"/>
      <c r="AG8" s="2288"/>
      <c r="AH8" s="2288"/>
      <c r="AT8" s="512">
        <v>26</v>
      </c>
    </row>
    <row customHeight="1" ht="46.199999999999996">
      <c r="C9" s="515"/>
      <c r="D9" s="2192"/>
      <c r="E9" s="2288"/>
      <c r="F9" s="2288"/>
      <c r="G9" s="894"/>
      <c r="H9" s="2290"/>
      <c r="I9" s="2292"/>
      <c r="J9" s="490" t="s">
        <v>379</v>
      </c>
      <c r="K9" s="490" t="s">
        <v>380</v>
      </c>
      <c r="L9" s="490" t="s">
        <v>381</v>
      </c>
      <c r="M9" s="496" t="s">
        <v>382</v>
      </c>
      <c r="N9" s="490" t="s">
        <v>383</v>
      </c>
      <c r="O9" s="490" t="s">
        <v>382</v>
      </c>
      <c r="P9" s="490" t="s">
        <v>384</v>
      </c>
      <c r="Q9" s="490" t="s">
        <v>382</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4600" customFormat="1" customHeight="1" ht="11.25" hidden="1">
      <c r="C11" s="563"/>
      <c r="D11" s="564" t="s">
        <v>385</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386</v>
      </c>
      <c r="AF12" s="2286" t="s">
        <v>387</v>
      </c>
      <c r="AG12" s="2286" t="s">
        <v>388</v>
      </c>
      <c r="AH12" s="2286" t="s">
        <v>389</v>
      </c>
      <c r="AI12" s="512"/>
      <c r="AM12" s="576"/>
      <c r="AP12" s="565" t="s">
        <v>390</v>
      </c>
      <c r="AQ12" s="565" t="s">
        <v>390</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0F13F-AB68-5D7A-1F62-0.8A7ADC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6504" width="9.140625"/>
  </cols>
  <sheetData>
    <row customHeight="1" ht="11.25">
      <c r="A1" s="248" t="s">
        <v>133</v>
      </c>
      <c r="B1" s="248" t="s">
        <v>2412</v>
      </c>
    </row>
    <row customHeight="1" ht="11.25">
      <c r="A2" s="127" t="s">
        <v>101</v>
      </c>
      <c r="B2" s="127"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8ECAF-4BDA-5B7C-6ED3-0.231D64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512" width="9.140625"/>
    <col min="2" max="2" style="6512" width="65.28125" customWidth="1"/>
  </cols>
  <sheetData>
    <row customHeight="1" ht="11.25">
      <c r="A1" s="900" t="s">
        <v>2414</v>
      </c>
      <c r="B1" s="900" t="s">
        <v>2415</v>
      </c>
    </row>
    <row customHeight="1" ht="11.25">
      <c r="A2" s="900">
        <v>4213775</v>
      </c>
      <c r="B2" s="900" t="s">
        <v>1239</v>
      </c>
    </row>
    <row customHeight="1" ht="11.25">
      <c r="A3" s="900">
        <v>4213784</v>
      </c>
      <c r="B3" s="900" t="s">
        <v>163</v>
      </c>
    </row>
    <row customHeight="1" ht="11.25">
      <c r="A4" s="900">
        <v>4213781</v>
      </c>
      <c r="B4" s="900" t="s">
        <v>1265</v>
      </c>
    </row>
    <row customHeight="1" ht="11.25">
      <c r="A5" s="900">
        <v>4213776</v>
      </c>
      <c r="B5" s="900" t="s">
        <v>175</v>
      </c>
    </row>
    <row customHeight="1" ht="11.25">
      <c r="A6" s="900">
        <v>4213777</v>
      </c>
      <c r="B6" s="900" t="s">
        <v>182</v>
      </c>
    </row>
    <row customHeight="1" ht="11.25">
      <c r="A7" s="900">
        <v>4213778</v>
      </c>
      <c r="B7" s="900" t="s">
        <v>189</v>
      </c>
    </row>
    <row customHeight="1" ht="11.25">
      <c r="A8" s="900">
        <v>4213780</v>
      </c>
      <c r="B8" s="900" t="s">
        <v>195</v>
      </c>
    </row>
    <row customHeight="1" ht="11.25">
      <c r="A9" s="900">
        <v>4213779</v>
      </c>
      <c r="B9" s="900" t="s">
        <v>1403</v>
      </c>
    </row>
    <row customHeight="1" ht="11.25">
      <c r="A10" s="900">
        <v>4213783</v>
      </c>
      <c r="B10" s="900" t="s">
        <v>1418</v>
      </c>
    </row>
    <row customHeight="1" ht="11.25">
      <c r="A11" s="900">
        <v>4213782</v>
      </c>
      <c r="B11" s="900"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0714F-7D12-EF4B-5679-0.A2EB54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512" width="9.140625"/>
    <col min="2" max="2" style="6512" width="65.28125" customWidth="1"/>
  </cols>
  <sheetData>
    <row customHeight="1" ht="11.25">
      <c r="A1" s="900" t="s">
        <v>2414</v>
      </c>
      <c r="B1" s="900" t="s">
        <v>2416</v>
      </c>
    </row>
    <row customHeight="1" ht="11.25">
      <c r="A2" s="900" t="s">
        <v>2417</v>
      </c>
      <c r="B2" s="900" t="s">
        <v>1516</v>
      </c>
    </row>
    <row customHeight="1" ht="11.25">
      <c r="A3" s="900" t="s">
        <v>2418</v>
      </c>
      <c r="B3" s="900" t="s">
        <v>1526</v>
      </c>
    </row>
    <row customHeight="1" ht="11.25">
      <c r="A4" s="900" t="s">
        <v>2419</v>
      </c>
      <c r="B4" s="900" t="s">
        <v>1535</v>
      </c>
    </row>
    <row customHeight="1" ht="11.25">
      <c r="A5" s="900" t="s">
        <v>2420</v>
      </c>
      <c r="B5" s="900" t="s">
        <v>1544</v>
      </c>
    </row>
    <row customHeight="1" ht="11.25">
      <c r="A6" s="900" t="s">
        <v>2421</v>
      </c>
      <c r="B6" s="900" t="s">
        <v>1550</v>
      </c>
    </row>
    <row customHeight="1" ht="11.25">
      <c r="A7" s="900" t="s">
        <v>2422</v>
      </c>
      <c r="B7" s="900" t="s">
        <v>1557</v>
      </c>
    </row>
    <row customHeight="1" ht="11.25">
      <c r="A8" s="900" t="s">
        <v>2423</v>
      </c>
      <c r="B8" s="900" t="s">
        <v>1564</v>
      </c>
    </row>
    <row customHeight="1" ht="11.25">
      <c r="A9" s="900" t="s">
        <v>2424</v>
      </c>
      <c r="B9" s="900" t="s">
        <v>1570</v>
      </c>
    </row>
    <row customHeight="1" ht="11.25">
      <c r="A10" s="900" t="s">
        <v>2425</v>
      </c>
      <c r="B10" s="900" t="s">
        <v>1574</v>
      </c>
    </row>
    <row customHeight="1" ht="11.25">
      <c r="A11" s="900" t="s">
        <v>2426</v>
      </c>
      <c r="B11" s="900"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ACCD1-9366-843C-E2CC-0.705C3E77}"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438" t="s">
        <v>2337</v>
      </c>
      <c r="B1" s="438" t="s">
        <v>2338</v>
      </c>
      <c r="C1" s="438" t="s">
        <v>2339</v>
      </c>
      <c r="D1" s="438" t="s">
        <v>2340</v>
      </c>
      <c r="E1" s="0" t="s">
        <v>2341</v>
      </c>
      <c r="F1" s="0" t="s">
        <v>2342</v>
      </c>
      <c r="G1" s="0" t="s">
        <v>2343</v>
      </c>
    </row>
    <row customHeight="1" ht="11.25">
      <c r="A2" s="0" t="s">
        <v>16</v>
      </c>
      <c r="B2" s="0" t="s">
        <v>2344</v>
      </c>
      <c r="C2" s="0" t="s">
        <v>2345</v>
      </c>
      <c r="D2" s="0" t="s">
        <v>2344</v>
      </c>
      <c r="E2" s="0" t="s">
        <v>2345</v>
      </c>
      <c r="F2" s="0" t="s">
        <v>2346</v>
      </c>
      <c r="G2" s="0" t="s">
        <v>112</v>
      </c>
    </row>
    <row customHeight="1" ht="11.25">
      <c r="A3" s="0" t="s">
        <v>16</v>
      </c>
      <c r="B3" s="0" t="s">
        <v>2344</v>
      </c>
      <c r="C3" s="0" t="s">
        <v>2345</v>
      </c>
      <c r="D3" s="0" t="s">
        <v>2347</v>
      </c>
      <c r="E3" s="0" t="s">
        <v>2348</v>
      </c>
      <c r="F3" s="0" t="s">
        <v>2349</v>
      </c>
      <c r="G3" s="0" t="s">
        <v>113</v>
      </c>
    </row>
    <row customHeight="1" ht="11.25">
      <c r="A4" s="0" t="s">
        <v>16</v>
      </c>
      <c r="B4" s="0" t="s">
        <v>2344</v>
      </c>
      <c r="C4" s="0" t="s">
        <v>2345</v>
      </c>
      <c r="D4" s="0" t="s">
        <v>2350</v>
      </c>
      <c r="E4" s="0" t="s">
        <v>2351</v>
      </c>
      <c r="F4" s="0" t="s">
        <v>2349</v>
      </c>
      <c r="G4" s="0" t="s">
        <v>93</v>
      </c>
    </row>
    <row customHeight="1" ht="11.25">
      <c r="A5" s="0" t="s">
        <v>16</v>
      </c>
      <c r="B5" s="0" t="s">
        <v>2344</v>
      </c>
      <c r="C5" s="0" t="s">
        <v>2345</v>
      </c>
      <c r="D5" s="0" t="s">
        <v>2352</v>
      </c>
      <c r="E5" s="0" t="s">
        <v>2353</v>
      </c>
      <c r="F5" s="0" t="s">
        <v>2349</v>
      </c>
      <c r="G5" s="0" t="s">
        <v>94</v>
      </c>
    </row>
    <row customHeight="1" ht="11.25">
      <c r="A6" s="0" t="s">
        <v>16</v>
      </c>
      <c r="B6" s="0" t="s">
        <v>2344</v>
      </c>
      <c r="C6" s="0" t="s">
        <v>2345</v>
      </c>
      <c r="D6" s="0" t="s">
        <v>2354</v>
      </c>
      <c r="E6" s="0" t="s">
        <v>2355</v>
      </c>
      <c r="F6" s="0" t="s">
        <v>2349</v>
      </c>
      <c r="G6" s="0" t="s">
        <v>114</v>
      </c>
    </row>
    <row customHeight="1" ht="11.25">
      <c r="A7" s="0" t="s">
        <v>16</v>
      </c>
      <c r="B7" s="0" t="s">
        <v>2344</v>
      </c>
      <c r="C7" s="0" t="s">
        <v>2345</v>
      </c>
      <c r="D7" s="0" t="s">
        <v>2356</v>
      </c>
      <c r="E7" s="0" t="s">
        <v>2357</v>
      </c>
      <c r="F7" s="0" t="s">
        <v>2349</v>
      </c>
      <c r="G7" s="0" t="s">
        <v>95</v>
      </c>
    </row>
    <row customHeight="1" ht="11.25">
      <c r="A8" s="0" t="s">
        <v>16</v>
      </c>
      <c r="B8" s="0" t="s">
        <v>2344</v>
      </c>
      <c r="C8" s="0" t="s">
        <v>2345</v>
      </c>
      <c r="D8" s="0" t="s">
        <v>2358</v>
      </c>
      <c r="E8" s="0" t="s">
        <v>2359</v>
      </c>
      <c r="F8" s="0" t="s">
        <v>2349</v>
      </c>
      <c r="G8" s="0" t="s">
        <v>96</v>
      </c>
    </row>
    <row customHeight="1" ht="11.25">
      <c r="A9" s="0" t="s">
        <v>16</v>
      </c>
      <c r="B9" s="0" t="s">
        <v>2344</v>
      </c>
      <c r="C9" s="0" t="s">
        <v>2345</v>
      </c>
      <c r="D9" s="0" t="s">
        <v>2360</v>
      </c>
      <c r="E9" s="0" t="s">
        <v>2361</v>
      </c>
      <c r="F9" s="0" t="s">
        <v>2349</v>
      </c>
      <c r="G9" s="0" t="s">
        <v>115</v>
      </c>
    </row>
    <row customHeight="1" ht="11.25">
      <c r="A10" s="0" t="s">
        <v>16</v>
      </c>
      <c r="B10" s="0" t="s">
        <v>2344</v>
      </c>
      <c r="C10" s="0" t="s">
        <v>2345</v>
      </c>
      <c r="D10" s="0" t="s">
        <v>2362</v>
      </c>
      <c r="E10" s="0" t="s">
        <v>2363</v>
      </c>
      <c r="F10" s="0" t="s">
        <v>2364</v>
      </c>
      <c r="G10" s="0" t="s">
        <v>151</v>
      </c>
    </row>
    <row customHeight="1" ht="11.25">
      <c r="A11" s="0" t="s">
        <v>16</v>
      </c>
      <c r="B11" s="0" t="s">
        <v>2344</v>
      </c>
      <c r="C11" s="0" t="s">
        <v>2345</v>
      </c>
      <c r="D11" s="0" t="s">
        <v>2365</v>
      </c>
      <c r="E11" s="0" t="s">
        <v>2366</v>
      </c>
      <c r="F11" s="0" t="s">
        <v>2349</v>
      </c>
      <c r="G11" s="0" t="s">
        <v>152</v>
      </c>
    </row>
    <row customHeight="1" ht="11.25">
      <c r="A12" s="0" t="s">
        <v>16</v>
      </c>
      <c r="B12" s="0" t="s">
        <v>2344</v>
      </c>
      <c r="C12" s="0" t="s">
        <v>2345</v>
      </c>
      <c r="D12" s="0" t="s">
        <v>2367</v>
      </c>
      <c r="E12" s="0" t="s">
        <v>2368</v>
      </c>
      <c r="F12" s="0" t="s">
        <v>2349</v>
      </c>
      <c r="G12" s="0" t="s">
        <v>153</v>
      </c>
    </row>
    <row customHeight="1" ht="11.25">
      <c r="A13" s="0" t="s">
        <v>16</v>
      </c>
      <c r="B13" s="0" t="s">
        <v>2344</v>
      </c>
      <c r="C13" s="0" t="s">
        <v>2345</v>
      </c>
      <c r="D13" s="0" t="s">
        <v>2369</v>
      </c>
      <c r="E13" s="0" t="s">
        <v>2370</v>
      </c>
      <c r="F13" s="0" t="s">
        <v>2349</v>
      </c>
      <c r="G13" s="0" t="s">
        <v>154</v>
      </c>
    </row>
    <row customHeight="1" ht="11.25">
      <c r="A14" s="0" t="s">
        <v>16</v>
      </c>
      <c r="B14" s="0" t="s">
        <v>2344</v>
      </c>
      <c r="C14" s="0" t="s">
        <v>2345</v>
      </c>
      <c r="D14" s="0" t="s">
        <v>2371</v>
      </c>
      <c r="E14" s="0" t="s">
        <v>2372</v>
      </c>
      <c r="F14" s="0" t="s">
        <v>2349</v>
      </c>
      <c r="G14" s="0" t="s">
        <v>155</v>
      </c>
    </row>
    <row customHeight="1" ht="11.25">
      <c r="A15" s="0" t="s">
        <v>16</v>
      </c>
      <c r="B15" s="0" t="s">
        <v>2344</v>
      </c>
      <c r="C15" s="0" t="s">
        <v>2345</v>
      </c>
      <c r="D15" s="0" t="s">
        <v>2373</v>
      </c>
      <c r="E15" s="0" t="s">
        <v>2374</v>
      </c>
      <c r="F15" s="0" t="s">
        <v>2349</v>
      </c>
      <c r="G15" s="0" t="s">
        <v>156</v>
      </c>
    </row>
    <row customHeight="1" ht="11.25">
      <c r="A16" s="0" t="s">
        <v>16</v>
      </c>
      <c r="B16" s="0" t="s">
        <v>2344</v>
      </c>
      <c r="C16" s="0" t="s">
        <v>2345</v>
      </c>
      <c r="D16" s="0" t="s">
        <v>2375</v>
      </c>
      <c r="E16" s="0" t="s">
        <v>2376</v>
      </c>
      <c r="F16" s="0" t="s">
        <v>2377</v>
      </c>
      <c r="G16" s="0" t="s">
        <v>1478</v>
      </c>
    </row>
    <row customHeight="1" ht="11.25">
      <c r="A17" s="0" t="s">
        <v>16</v>
      </c>
      <c r="B17" s="0" t="s">
        <v>2344</v>
      </c>
      <c r="C17" s="0" t="s">
        <v>2345</v>
      </c>
      <c r="D17" s="0" t="s">
        <v>2378</v>
      </c>
      <c r="E17" s="0" t="s">
        <v>2379</v>
      </c>
      <c r="F17" s="0" t="s">
        <v>2349</v>
      </c>
      <c r="G17" s="0" t="s">
        <v>1484</v>
      </c>
    </row>
    <row customHeight="1" ht="11.25">
      <c r="A18" s="0" t="s">
        <v>16</v>
      </c>
      <c r="B18" s="0" t="s">
        <v>2344</v>
      </c>
      <c r="C18" s="0" t="s">
        <v>2345</v>
      </c>
      <c r="D18" s="0" t="s">
        <v>2380</v>
      </c>
      <c r="E18" s="0" t="s">
        <v>2381</v>
      </c>
      <c r="F18" s="0" t="s">
        <v>2349</v>
      </c>
      <c r="G18" s="0" t="s">
        <v>1496</v>
      </c>
    </row>
    <row customHeight="1" ht="11.25">
      <c r="A19" s="0" t="s">
        <v>16</v>
      </c>
      <c r="B19" s="0" t="s">
        <v>2344</v>
      </c>
      <c r="C19" s="0" t="s">
        <v>2345</v>
      </c>
      <c r="D19" s="0" t="s">
        <v>2382</v>
      </c>
      <c r="E19" s="0" t="s">
        <v>2383</v>
      </c>
      <c r="F19" s="0" t="s">
        <v>2349</v>
      </c>
      <c r="G19" s="0" t="s">
        <v>1510</v>
      </c>
    </row>
    <row customHeight="1" ht="11.25">
      <c r="A20" s="0" t="s">
        <v>16</v>
      </c>
      <c r="B20" s="0" t="s">
        <v>2344</v>
      </c>
      <c r="C20" s="0" t="s">
        <v>2345</v>
      </c>
      <c r="D20" s="0" t="s">
        <v>2384</v>
      </c>
      <c r="E20" s="0" t="s">
        <v>2385</v>
      </c>
      <c r="F20" s="0" t="s">
        <v>2349</v>
      </c>
      <c r="G20" s="0" t="s">
        <v>1522</v>
      </c>
    </row>
    <row customHeight="1" ht="11.25">
      <c r="A21" s="0" t="s">
        <v>16</v>
      </c>
      <c r="B21" s="0" t="s">
        <v>2344</v>
      </c>
      <c r="C21" s="0" t="s">
        <v>2345</v>
      </c>
      <c r="D21" s="0" t="s">
        <v>2386</v>
      </c>
      <c r="E21" s="0" t="s">
        <v>2387</v>
      </c>
      <c r="F21" s="0" t="s">
        <v>2349</v>
      </c>
      <c r="G21" s="0" t="s">
        <v>1531</v>
      </c>
    </row>
    <row customHeight="1" ht="11.25">
      <c r="A22" s="0" t="s">
        <v>16</v>
      </c>
      <c r="B22" s="0" t="s">
        <v>2344</v>
      </c>
      <c r="C22" s="0" t="s">
        <v>2345</v>
      </c>
      <c r="D22" s="0" t="s">
        <v>2388</v>
      </c>
      <c r="E22" s="0" t="s">
        <v>2389</v>
      </c>
      <c r="F22" s="0" t="s">
        <v>2349</v>
      </c>
      <c r="G22" s="0" t="s">
        <v>1547</v>
      </c>
    </row>
    <row customHeight="1" ht="11.25">
      <c r="A23" s="0" t="s">
        <v>16</v>
      </c>
      <c r="B23" s="0" t="s">
        <v>103</v>
      </c>
      <c r="C23" s="0" t="s">
        <v>104</v>
      </c>
      <c r="D23" s="0" t="s">
        <v>103</v>
      </c>
      <c r="E23" s="0" t="s">
        <v>104</v>
      </c>
      <c r="F23" s="0" t="s">
        <v>2390</v>
      </c>
      <c r="G23" s="0" t="s">
        <v>102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0A823-0B3D-F8D6-DFD6-0.D33D98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512" width="9.140625"/>
    <col min="2" max="2" style="6512" width="84.28125" customWidth="1"/>
    <col min="3" max="3" style="6512" width="9.140625"/>
  </cols>
  <sheetData>
    <row customHeight="1" ht="11.25">
      <c r="A1" s="900" t="s">
        <v>2427</v>
      </c>
      <c r="B1" s="900" t="s">
        <v>2428</v>
      </c>
      <c r="C1" s="900" t="s">
        <v>1184</v>
      </c>
    </row>
    <row customHeight="1" ht="11.25">
      <c r="A2" s="900">
        <v>4189678</v>
      </c>
      <c r="B2" s="900" t="s">
        <v>2429</v>
      </c>
      <c r="C2" s="900" t="s">
        <v>2430</v>
      </c>
    </row>
    <row customHeight="1" ht="11.25">
      <c r="A3" s="900">
        <v>4190415</v>
      </c>
      <c r="B3" s="900" t="s">
        <v>2431</v>
      </c>
      <c r="C3" s="900" t="s">
        <v>2430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56661-010A-BF51-209C-0.D9489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506" width="38.421875" customWidth="1"/>
    <col min="2" max="5" style="6506" width="9.140625"/>
  </cols>
  <sheetData>
    <row customHeight="1" ht="15">
      <c r="A1" s="228" t="s">
        <v>2432</v>
      </c>
      <c r="B1" s="228" t="s">
        <v>2433</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ED75-9027-F5B3-12AE-0.D0B8DD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2434</v>
      </c>
      <c r="B1" s="0" t="b">
        <v>1</v>
      </c>
    </row>
    <row customHeight="1" ht="11.25">
      <c r="A2" s="0" t="s">
        <v>2435</v>
      </c>
      <c r="B2" s="0" t="b">
        <v>0</v>
      </c>
    </row>
    <row customHeight="1" ht="11.25">
      <c r="A3" s="0" t="s">
        <v>2436</v>
      </c>
      <c r="B3" s="0" t="b">
        <v>1</v>
      </c>
    </row>
    <row customHeight="1" ht="11.25">
      <c r="A4" s="0" t="s">
        <v>2437</v>
      </c>
      <c r="B4" s="0" t="b">
        <v>0</v>
      </c>
    </row>
    <row customHeight="1" ht="11.25">
      <c r="A5" s="0" t="s">
        <v>2438</v>
      </c>
      <c r="B5" s="0" t="b">
        <v>0</v>
      </c>
    </row>
    <row customHeight="1" ht="11.25">
      <c r="A6" s="0" t="s">
        <v>2439</v>
      </c>
      <c r="B6" s="0" t="b">
        <v>0</v>
      </c>
    </row>
    <row customHeight="1" ht="11.25">
      <c r="A7" s="0" t="s">
        <v>2440</v>
      </c>
      <c r="B7" s="0" t="b">
        <v>0</v>
      </c>
    </row>
    <row customHeight="1" ht="11.25">
      <c r="A8" s="0" t="s">
        <v>2441</v>
      </c>
      <c r="B8" s="0" t="b">
        <v>0</v>
      </c>
    </row>
    <row customHeight="1" ht="11.25">
      <c r="A9" s="0" t="s">
        <v>2442</v>
      </c>
      <c r="B9" s="0" t="b">
        <v>1</v>
      </c>
    </row>
    <row customHeight="1" ht="11.25">
      <c r="A10" s="0" t="s">
        <v>2443</v>
      </c>
      <c r="B10" s="0" t="b">
        <v>0</v>
      </c>
    </row>
    <row customHeight="1" ht="11.25">
      <c r="A11" s="0" t="s">
        <v>2444</v>
      </c>
      <c r="B11" s="0" t="b">
        <v>0</v>
      </c>
    </row>
    <row customHeight="1" ht="11.25">
      <c r="A12" s="0" t="s">
        <v>2445</v>
      </c>
      <c r="B12" s="0" t="b">
        <v>0</v>
      </c>
    </row>
    <row customHeight="1" ht="11.25">
      <c r="A13" s="0" t="s">
        <v>2446</v>
      </c>
      <c r="B13" s="0" t="b">
        <v>0</v>
      </c>
    </row>
    <row customHeight="1" ht="11.25">
      <c r="A14" s="0" t="s">
        <v>2447</v>
      </c>
      <c r="B14" s="0" t="b">
        <v>0</v>
      </c>
    </row>
    <row customHeight="1" ht="11.25">
      <c r="A15" s="0" t="s">
        <v>2448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92D33-FE74-CC48-4C2D-0.C6838B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507"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BC7CC-A2A5-CEF5-3582-0.8ABC80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516" width="36.28125" customWidth="1"/>
    <col min="2" max="2" style="6516" width="21.140625" customWidth="1"/>
  </cols>
  <sheetData>
    <row customHeight="1" ht="11.25">
      <c r="A1" s="132" t="s">
        <v>2449</v>
      </c>
      <c r="B1" s="132" t="s">
        <v>2450</v>
      </c>
    </row>
    <row customHeight="1" ht="11.25">
      <c r="A2" s="127" t="s">
        <v>2451</v>
      </c>
      <c r="B2" s="127" t="s">
        <v>2452</v>
      </c>
    </row>
    <row customHeight="1" ht="11.25">
      <c r="A3" s="127" t="s">
        <v>2453</v>
      </c>
      <c r="B3" s="127" t="s">
        <v>2454</v>
      </c>
    </row>
    <row customHeight="1" ht="11.25">
      <c r="A4" s="127" t="s">
        <v>2455</v>
      </c>
      <c r="B4" s="127" t="s">
        <v>2456</v>
      </c>
    </row>
    <row customHeight="1" ht="11.25">
      <c r="A5" s="127" t="s">
        <v>2457</v>
      </c>
      <c r="B5" s="127" t="s">
        <v>2458</v>
      </c>
    </row>
    <row customHeight="1" ht="11.25">
      <c r="A6" s="127" t="s">
        <v>2459</v>
      </c>
      <c r="B6" s="127" t="s">
        <v>2460</v>
      </c>
    </row>
    <row customHeight="1" ht="11.25">
      <c r="A7" s="127" t="s">
        <v>2461</v>
      </c>
      <c r="B7" s="127" t="s">
        <v>2462</v>
      </c>
    </row>
    <row customHeight="1" ht="11.25">
      <c r="A8" s="127" t="s">
        <v>2463</v>
      </c>
      <c r="B8" s="127" t="s">
        <v>2464</v>
      </c>
    </row>
    <row customHeight="1" ht="11.25">
      <c r="A9" s="127" t="s">
        <v>2465</v>
      </c>
      <c r="B9" s="127" t="s">
        <v>2466</v>
      </c>
    </row>
    <row customHeight="1" ht="11.25">
      <c r="A10" s="127" t="s">
        <v>2467</v>
      </c>
      <c r="B10" s="127" t="s">
        <v>2468</v>
      </c>
    </row>
    <row customHeight="1" ht="11.25">
      <c r="A11" s="127" t="s">
        <v>2469</v>
      </c>
      <c r="B11" s="127" t="s">
        <v>2470</v>
      </c>
    </row>
    <row customHeight="1" ht="11.25">
      <c r="A12" s="127" t="s">
        <v>2471</v>
      </c>
      <c r="B12" s="127" t="s">
        <v>2472</v>
      </c>
    </row>
    <row customHeight="1" ht="11.25">
      <c r="A13" s="127" t="s">
        <v>2473</v>
      </c>
      <c r="B13" s="127" t="s">
        <v>2474</v>
      </c>
    </row>
    <row customHeight="1" ht="11.25">
      <c r="A14" s="127" t="s">
        <v>2475</v>
      </c>
      <c r="B14" s="127" t="s">
        <v>2476</v>
      </c>
    </row>
    <row customHeight="1" ht="11.25">
      <c r="A15" s="127" t="s">
        <v>2477</v>
      </c>
      <c r="B15" s="127" t="s">
        <v>2478</v>
      </c>
    </row>
    <row customHeight="1" ht="11.25">
      <c r="A16" s="127" t="s">
        <v>2479</v>
      </c>
      <c r="B16" s="127" t="s">
        <v>2480</v>
      </c>
    </row>
    <row customHeight="1" ht="11.25">
      <c r="A17" s="127" t="s">
        <v>2481</v>
      </c>
      <c r="B17" s="127" t="s">
        <v>2482</v>
      </c>
    </row>
    <row customHeight="1" ht="11.25">
      <c r="A18" s="127" t="s">
        <v>2483</v>
      </c>
      <c r="B18" s="127" t="s">
        <v>2484</v>
      </c>
    </row>
    <row customHeight="1" ht="11.25">
      <c r="A19" s="127" t="s">
        <v>2485</v>
      </c>
      <c r="B19" s="127" t="s">
        <v>2486</v>
      </c>
    </row>
    <row customHeight="1" ht="11.25">
      <c r="A20" s="127" t="s">
        <v>2487</v>
      </c>
      <c r="B20" s="127" t="s">
        <v>2488</v>
      </c>
    </row>
    <row customHeight="1" ht="11.25">
      <c r="A21" s="127" t="s">
        <v>2489</v>
      </c>
      <c r="B21" s="127" t="s">
        <v>2490</v>
      </c>
    </row>
    <row customHeight="1" ht="11.25">
      <c r="A22" s="127" t="s">
        <v>2491</v>
      </c>
      <c r="B22" s="127" t="s">
        <v>2492</v>
      </c>
    </row>
    <row customHeight="1" ht="11.25">
      <c r="A23" s="127" t="s">
        <v>2493</v>
      </c>
      <c r="B23" s="127" t="s">
        <v>2494</v>
      </c>
    </row>
    <row customHeight="1" ht="11.25">
      <c r="A24" s="127" t="s">
        <v>2495</v>
      </c>
      <c r="B24" s="127" t="s">
        <v>2496</v>
      </c>
    </row>
    <row customHeight="1" ht="11.25">
      <c r="A25" s="127" t="s">
        <v>2497</v>
      </c>
      <c r="B25" s="127" t="s">
        <v>2498</v>
      </c>
    </row>
    <row customHeight="1" ht="11.25">
      <c r="A26" s="127" t="s">
        <v>2499</v>
      </c>
      <c r="B26" s="127" t="s">
        <v>2500</v>
      </c>
    </row>
    <row customHeight="1" ht="11.25">
      <c r="A27" s="127" t="s">
        <v>2501</v>
      </c>
      <c r="B27" s="127" t="s">
        <v>2502</v>
      </c>
    </row>
    <row customHeight="1" ht="11.25">
      <c r="A28" s="127" t="s">
        <v>2503</v>
      </c>
      <c r="B28" s="127" t="s">
        <v>2504</v>
      </c>
    </row>
    <row customHeight="1" ht="11.25">
      <c r="A29" s="127" t="s">
        <v>2505</v>
      </c>
      <c r="B29" s="127" t="s">
        <v>2506</v>
      </c>
    </row>
    <row customHeight="1" ht="11.25">
      <c r="A30" s="127" t="s">
        <v>2507</v>
      </c>
      <c r="B30" s="127" t="s">
        <v>2508</v>
      </c>
    </row>
    <row customHeight="1" ht="11.25">
      <c r="A31" s="127" t="s">
        <v>2509</v>
      </c>
      <c r="B31" s="127" t="s">
        <v>2510</v>
      </c>
    </row>
    <row customHeight="1" ht="11.25">
      <c r="A32" s="127" t="s">
        <v>2511</v>
      </c>
      <c r="B32" s="127" t="s">
        <v>2512</v>
      </c>
    </row>
    <row customHeight="1" ht="11.25">
      <c r="A33" s="127" t="s">
        <v>2513</v>
      </c>
      <c r="B33" s="127" t="s">
        <v>2514</v>
      </c>
    </row>
    <row customHeight="1" ht="11.25">
      <c r="A34" s="127" t="s">
        <v>2515</v>
      </c>
      <c r="B34" s="127" t="s">
        <v>2516</v>
      </c>
    </row>
    <row customHeight="1" ht="11.25">
      <c r="A35" s="127" t="s">
        <v>2517</v>
      </c>
      <c r="B35" s="127" t="s">
        <v>2518</v>
      </c>
    </row>
    <row customHeight="1" ht="11.25">
      <c r="A36" s="127" t="s">
        <v>2519</v>
      </c>
      <c r="B36" s="127" t="s">
        <v>2520</v>
      </c>
    </row>
    <row customHeight="1" ht="11.25">
      <c r="A37" s="127" t="s">
        <v>2521</v>
      </c>
      <c r="B37" s="127" t="s">
        <v>2522</v>
      </c>
    </row>
    <row customHeight="1" ht="11.25">
      <c r="A38" s="127" t="s">
        <v>2523</v>
      </c>
      <c r="B38" s="127" t="s">
        <v>2524</v>
      </c>
    </row>
    <row customHeight="1" ht="11.25">
      <c r="A39" s="127" t="s">
        <v>2525</v>
      </c>
      <c r="B39" s="127" t="s">
        <v>2526</v>
      </c>
    </row>
    <row customHeight="1" ht="11.25">
      <c r="A40" s="127" t="s">
        <v>2527</v>
      </c>
      <c r="B40" s="127" t="s">
        <v>2528</v>
      </c>
    </row>
    <row customHeight="1" ht="11.25">
      <c r="A41" s="127" t="s">
        <v>2529</v>
      </c>
      <c r="B41" s="127" t="s">
        <v>2530</v>
      </c>
    </row>
    <row customHeight="1" ht="11.25">
      <c r="A42" s="127" t="s">
        <v>2531</v>
      </c>
      <c r="B42" s="127" t="s">
        <v>2532</v>
      </c>
    </row>
    <row customHeight="1" ht="11.25">
      <c r="A43" s="127" t="s">
        <v>2533</v>
      </c>
      <c r="B43" s="127" t="s">
        <v>2534</v>
      </c>
    </row>
    <row customHeight="1" ht="11.25">
      <c r="A44" s="127" t="s">
        <v>2535</v>
      </c>
      <c r="B44" s="127" t="s">
        <v>2536</v>
      </c>
    </row>
    <row customHeight="1" ht="11.25">
      <c r="A45" s="127" t="s">
        <v>2537</v>
      </c>
      <c r="B45" s="127" t="s">
        <v>2538</v>
      </c>
    </row>
    <row customHeight="1" ht="11.25">
      <c r="A46" s="127" t="s">
        <v>2539</v>
      </c>
      <c r="B46" s="127" t="s">
        <v>2540</v>
      </c>
    </row>
    <row customHeight="1" ht="11.25">
      <c r="A47" s="127" t="s">
        <v>2541</v>
      </c>
      <c r="B47" s="127" t="s">
        <v>2542</v>
      </c>
    </row>
    <row customHeight="1" ht="11.25">
      <c r="A48" s="127" t="s">
        <v>2543</v>
      </c>
      <c r="B48" s="127" t="s">
        <v>2544</v>
      </c>
    </row>
    <row customHeight="1" ht="11.25">
      <c r="A49" s="127" t="s">
        <v>2545</v>
      </c>
      <c r="B49" s="127" t="s">
        <v>2546</v>
      </c>
    </row>
    <row customHeight="1" ht="11.25">
      <c r="A50" s="127" t="s">
        <v>2547</v>
      </c>
      <c r="B50" s="127" t="s">
        <v>2548</v>
      </c>
    </row>
    <row customHeight="1" ht="11.25">
      <c r="A51" s="127" t="s">
        <v>2549</v>
      </c>
      <c r="B51" s="127" t="s">
        <v>2550</v>
      </c>
    </row>
    <row customHeight="1" ht="11.25">
      <c r="A52" s="127" t="s">
        <v>2551</v>
      </c>
      <c r="B52" s="127" t="s">
        <v>2552</v>
      </c>
    </row>
    <row customHeight="1" ht="11.25">
      <c r="A53" s="127" t="s">
        <v>2553</v>
      </c>
      <c r="B53" s="127" t="s">
        <v>2554</v>
      </c>
    </row>
    <row customHeight="1" ht="11.25">
      <c r="A54" s="127" t="s">
        <v>2555</v>
      </c>
      <c r="B54" s="127" t="s">
        <v>2556</v>
      </c>
    </row>
    <row customHeight="1" ht="11.25">
      <c r="A55" s="127" t="s">
        <v>2557</v>
      </c>
      <c r="B55" s="127" t="s">
        <v>2558</v>
      </c>
    </row>
    <row customHeight="1" ht="11.25">
      <c r="A56" s="127" t="s">
        <v>2559</v>
      </c>
      <c r="B56" s="127" t="s">
        <v>2560</v>
      </c>
    </row>
    <row customHeight="1" ht="11.25">
      <c r="A57" s="127" t="s">
        <v>2561</v>
      </c>
      <c r="B57" s="127" t="s">
        <v>2562</v>
      </c>
    </row>
    <row customHeight="1" ht="11.25">
      <c r="A58" s="127" t="s">
        <v>2563</v>
      </c>
      <c r="B58" s="127" t="s">
        <v>2564</v>
      </c>
    </row>
    <row customHeight="1" ht="11.25">
      <c r="A59" s="127" t="s">
        <v>2565</v>
      </c>
      <c r="B59" s="127" t="s">
        <v>2566</v>
      </c>
    </row>
    <row customHeight="1" ht="11.25">
      <c r="A60" s="127" t="s">
        <v>2567</v>
      </c>
      <c r="B60" s="127" t="s">
        <v>2568</v>
      </c>
    </row>
    <row customHeight="1" ht="11.25">
      <c r="A61" s="127"/>
      <c r="B61" s="127" t="s">
        <v>2569</v>
      </c>
    </row>
    <row customHeight="1" ht="11.25">
      <c r="A62" s="127"/>
      <c r="B62" s="127" t="s">
        <v>2570</v>
      </c>
    </row>
    <row customHeight="1" ht="11.25">
      <c r="A63" s="127"/>
      <c r="B63" s="127" t="s">
        <v>2571</v>
      </c>
    </row>
    <row customHeight="1" ht="11.25">
      <c r="A64" s="127"/>
      <c r="B64" s="127" t="s">
        <v>2572</v>
      </c>
    </row>
    <row customHeight="1" ht="11.25">
      <c r="A65" s="127"/>
      <c r="B65" s="127" t="s">
        <v>2573</v>
      </c>
    </row>
    <row customHeight="1" ht="11.25">
      <c r="A66" s="127"/>
      <c r="B66" s="127" t="s">
        <v>2574</v>
      </c>
    </row>
    <row customHeight="1" ht="11.25">
      <c r="A67" s="127"/>
      <c r="B67" s="127" t="s">
        <v>2575</v>
      </c>
    </row>
    <row customHeight="1" ht="11.25">
      <c r="A68" s="127"/>
      <c r="B68" s="127" t="s">
        <v>2576</v>
      </c>
    </row>
    <row customHeight="1" ht="11.25">
      <c r="A69" s="127"/>
      <c r="B69" s="127" t="s">
        <v>2577</v>
      </c>
    </row>
    <row customHeight="1" ht="11.25">
      <c r="A70" s="127"/>
      <c r="B70" s="127" t="s">
        <v>2578</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821FF-E5F7-66FE-CB52-0.7B3B65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516" width="3.7109375" customWidth="1"/>
    <col min="2" max="2" style="6516" width="90.7109375" customWidth="1"/>
    <col min="3" max="4" style="6516" width="9.140625"/>
  </cols>
  <sheetData>
    <row customHeight="1" ht="11.25">
      <c r="B1" s="158" t="s">
        <v>2579</v>
      </c>
    </row>
    <row customHeight="1" ht="90">
      <c r="B2" s="159" t="s">
        <v>2580</v>
      </c>
    </row>
    <row customHeight="1" ht="67.5">
      <c r="B3" s="159" t="s">
        <v>2581</v>
      </c>
    </row>
    <row customHeight="1" ht="33.75">
      <c r="B4" s="159" t="s">
        <v>2582</v>
      </c>
    </row>
    <row customHeight="1" ht="11.25">
      <c r="B5" s="159" t="s">
        <v>2583</v>
      </c>
    </row>
    <row customHeight="1" ht="22.5">
      <c r="B6" s="159" t="s">
        <v>2584</v>
      </c>
    </row>
    <row customHeight="1" ht="22.5">
      <c r="B7" s="159" t="s">
        <v>2585</v>
      </c>
    </row>
    <row customHeight="1" ht="22.5">
      <c r="B8" s="159" t="s">
        <v>2586</v>
      </c>
    </row>
    <row customHeight="1" ht="22.5">
      <c r="B9" s="159" t="s">
        <v>2587</v>
      </c>
    </row>
    <row customHeight="1" ht="56.25">
      <c r="B10" s="159" t="s">
        <v>2588</v>
      </c>
    </row>
    <row customHeight="1" ht="12.75">
      <c r="B11" s="224" t="s">
        <v>2589</v>
      </c>
    </row>
    <row customHeight="1" ht="11.25">
      <c r="B12" s="158" t="s">
        <v>2590</v>
      </c>
    </row>
    <row customHeight="1" ht="22.5">
      <c r="B13" s="159" t="s">
        <v>2591</v>
      </c>
    </row>
    <row customHeight="1" ht="67.5">
      <c r="B14" s="159" t="s">
        <v>2592</v>
      </c>
    </row>
    <row customHeight="1" ht="22.5">
      <c r="B15" s="159" t="s">
        <v>2593</v>
      </c>
    </row>
    <row customHeight="1" ht="11.25">
      <c r="B16" s="158" t="s">
        <v>2594</v>
      </c>
      <c r="D16" s="165"/>
    </row>
    <row customHeight="1" ht="33.75">
      <c r="B17" s="159" t="s">
        <v>2595</v>
      </c>
    </row>
    <row customHeight="1" ht="33.75">
      <c r="B18" s="159" t="s">
        <v>2596</v>
      </c>
    </row>
    <row customHeight="1" ht="11.25">
      <c r="B19" s="159" t="s">
        <v>2597</v>
      </c>
    </row>
    <row customHeight="1" ht="33.75">
      <c r="B20" s="159" t="s">
        <v>2598</v>
      </c>
    </row>
    <row customHeight="1" ht="11.25">
      <c r="B21" s="158" t="s">
        <v>2599</v>
      </c>
    </row>
    <row customHeight="1" ht="11.25">
      <c r="B22" s="159" t="s">
        <v>2600</v>
      </c>
    </row>
    <row r="24" customHeight="1" ht="22.5">
      <c r="B24" s="226" t="s">
        <v>2601</v>
      </c>
    </row>
    <row r="26" customHeight="1" ht="11.25">
      <c r="B26" s="158" t="s">
        <v>2602</v>
      </c>
    </row>
    <row customHeight="1" ht="22.5">
      <c r="B27" s="225" t="s">
        <v>405</v>
      </c>
    </row>
    <row customHeight="1" ht="56.25">
      <c r="B28" s="225" t="s">
        <v>2603</v>
      </c>
    </row>
    <row customHeight="1" ht="11.25">
      <c r="B29" s="275" t="s">
        <v>2604</v>
      </c>
    </row>
    <row customHeight="1" ht="22.5">
      <c r="B30" s="225" t="s">
        <v>2605</v>
      </c>
    </row>
    <row r="32" customHeight="1" ht="11.25">
      <c r="A32" s="253"/>
      <c r="B32" s="254" t="s">
        <v>2606</v>
      </c>
    </row>
    <row customHeight="1" ht="14.25">
      <c r="A33" s="255">
        <v>1</v>
      </c>
      <c r="B33" s="256" t="s">
        <v>2607</v>
      </c>
    </row>
    <row customHeight="1" ht="14.25">
      <c r="A34" s="255">
        <v>2</v>
      </c>
      <c r="B34" s="256" t="s">
        <v>2608</v>
      </c>
    </row>
    <row customHeight="1" ht="11.25">
      <c r="B35" s="254" t="s">
        <v>2609</v>
      </c>
    </row>
    <row customHeight="1" ht="11.25">
      <c r="B36" s="256" t="s">
        <v>2610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185AD-C0FF-127D-A6F3-0.B10942E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6040" width="9.140625" hidden="1" customWidth="1"/>
    <col min="2" max="2" style="5796" width="9.140625" hidden="1" customWidth="1"/>
    <col min="3" max="3" style="6091" width="3.00390625" customWidth="1"/>
    <col min="4" max="4" style="5796" width="5.00390625" customWidth="1"/>
    <col min="5" max="5" style="5796" width="38.00390625" customWidth="1"/>
    <col min="6" max="7" style="5796" width="3.00390625" customWidth="1"/>
    <col min="8" max="8" style="5796" width="38.00390625" customWidth="1"/>
    <col min="9" max="9" style="5796" width="35.00390625" customWidth="1"/>
    <col min="10" max="10" style="5796" width="103.00390625" customWidth="1"/>
    <col min="11" max="11" style="3562" width="3.00390625" customWidth="1"/>
    <col min="12" max="14" style="5305" width="10.00390625" customWidth="1"/>
    <col min="15" max="15" style="5305" width="13.00390625" customWidth="1"/>
    <col min="16" max="16" style="5305" width="15.00390625" customWidth="1"/>
    <col min="17" max="17" style="5305" width="16.00390625" customWidth="1"/>
    <col min="18" max="21" style="5305" width="10.00390625" customWidth="1"/>
    <col min="22" max="22" style="5796" width="10.57421875" hidden="1"/>
  </cols>
  <sheetData>
    <row customHeight="1" ht="22.5" hidden="1">
      <c r="E1" s="477"/>
      <c r="F1" s="477"/>
      <c r="G1" s="477"/>
      <c r="H1" s="2282" t="s">
        <v>361</v>
      </c>
      <c r="I1" s="2282"/>
      <c r="V1" s="1672" t="s">
        <v>14</v>
      </c>
    </row>
    <row s="5796" customFormat="1" customHeight="1" ht="14.25" hidden="1">
      <c r="C2" s="1684"/>
      <c r="D2" s="2298" t="s">
        <v>112</v>
      </c>
      <c r="E2" s="2300"/>
      <c r="F2" s="1690"/>
      <c r="G2" s="1685" t="s">
        <v>112</v>
      </c>
      <c r="H2" s="1688"/>
      <c r="I2" s="1686"/>
      <c r="L2" s="1687"/>
      <c r="M2" s="1687"/>
      <c r="N2" s="1687"/>
      <c r="O2" s="1687" t="s">
        <v>391</v>
      </c>
      <c r="P2" s="1687"/>
      <c r="Q2" s="1687"/>
      <c r="R2" s="1689" t="s">
        <v>390</v>
      </c>
      <c r="S2" s="1689" t="s">
        <v>390</v>
      </c>
      <c r="T2" s="1687"/>
      <c r="U2" s="1687"/>
      <c r="V2" s="1683">
        <v>0</v>
      </c>
    </row>
    <row s="5796" customFormat="1" customHeight="1" ht="14.25" hidden="1">
      <c r="C3" s="1684"/>
      <c r="D3" s="2299"/>
      <c r="E3" s="2301"/>
      <c r="F3" s="470"/>
      <c r="G3" s="934"/>
      <c r="H3" s="934" t="s">
        <v>392</v>
      </c>
      <c r="I3" s="378"/>
      <c r="L3" s="1687"/>
      <c r="M3" s="1687"/>
      <c r="N3" s="1687"/>
      <c r="O3" s="1687"/>
      <c r="P3" s="1687"/>
      <c r="Q3" s="1687"/>
      <c r="R3" s="1689"/>
      <c r="S3" s="1689"/>
      <c r="T3" s="1687"/>
      <c r="U3" s="1687"/>
      <c r="V3" s="1683">
        <v>0</v>
      </c>
    </row>
    <row customHeight="1" ht="14.25" hidden="1">
      <c r="V4" s="1672">
        <v>0</v>
      </c>
    </row>
    <row s="3500" customFormat="1" customHeight="1" ht="5.25">
      <c r="C5" s="766"/>
      <c r="D5" s="767"/>
      <c r="E5" s="767"/>
      <c r="F5" s="767"/>
      <c r="G5" s="767"/>
      <c r="H5" s="767" t="s">
        <v>365</v>
      </c>
      <c r="I5" s="767"/>
      <c r="J5" s="767"/>
      <c r="L5" s="1679"/>
      <c r="M5" s="1679"/>
      <c r="N5" s="1679"/>
      <c r="O5" s="1679"/>
      <c r="P5" s="1679"/>
      <c r="Q5" s="1679"/>
      <c r="R5" s="1679"/>
      <c r="S5" s="1679"/>
      <c r="T5" s="1679"/>
      <c r="U5" s="1679"/>
      <c r="V5" s="1678">
        <v>5</v>
      </c>
    </row>
    <row customHeight="1" ht="29.25">
      <c r="C6" s="1581"/>
      <c r="D6" s="2302" t="s">
        <v>393</v>
      </c>
      <c r="E6" s="2302"/>
      <c r="F6" s="2302"/>
      <c r="G6" s="2302"/>
      <c r="H6" s="2302"/>
      <c r="I6" s="2302"/>
      <c r="J6" s="556"/>
      <c r="K6" s="1680"/>
      <c r="V6" s="1672">
        <v>28</v>
      </c>
    </row>
    <row customHeight="1" ht="18">
      <c r="C7" s="1581"/>
      <c r="D7" s="2241" t="str">
        <f>IF(org=0,"Не определено",org)</f>
        <v>Нарьян-Марское МУ ПОКиТС</v>
      </c>
      <c r="E7" s="2241"/>
      <c r="F7" s="2241"/>
      <c r="G7" s="2241"/>
      <c r="H7" s="2241"/>
      <c r="I7" s="2241"/>
      <c r="J7" s="556"/>
      <c r="K7" s="1680"/>
      <c r="V7" s="1672">
        <v>17</v>
      </c>
    </row>
    <row s="351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51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309</v>
      </c>
      <c r="E10" s="2284"/>
      <c r="F10" s="2284"/>
      <c r="G10" s="2284"/>
      <c r="H10" s="2284"/>
      <c r="I10" s="2284"/>
      <c r="J10" s="2288" t="s">
        <v>310</v>
      </c>
      <c r="V10" s="1672">
        <v>14</v>
      </c>
    </row>
    <row customHeight="1" ht="27.299999999999997">
      <c r="C11" s="1581"/>
      <c r="D11" s="2192" t="s">
        <v>91</v>
      </c>
      <c r="E11" s="2288" t="s">
        <v>108</v>
      </c>
      <c r="F11" s="2257" t="s">
        <v>91</v>
      </c>
      <c r="G11" s="2258"/>
      <c r="H11" s="2240" t="s">
        <v>394</v>
      </c>
      <c r="I11" s="2240" t="s">
        <v>395</v>
      </c>
      <c r="J11" s="2288"/>
      <c r="V11" s="1672">
        <v>26</v>
      </c>
    </row>
    <row customHeight="1" ht="14.699999999999998">
      <c r="C12" s="1581"/>
      <c r="D12" s="2192"/>
      <c r="E12" s="2288"/>
      <c r="F12" s="2265"/>
      <c r="G12" s="2266"/>
      <c r="H12" s="2297"/>
      <c r="I12" s="2297"/>
      <c r="J12" s="2288"/>
      <c r="V12" s="1672">
        <v>14</v>
      </c>
    </row>
    <row s="4600" customFormat="1" customHeight="1" ht="11.25" hidden="1">
      <c r="C13" s="563"/>
      <c r="D13" s="564" t="s">
        <v>385</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396</v>
      </c>
      <c r="K14" s="1672"/>
      <c r="R14" s="565" t="s">
        <v>390</v>
      </c>
      <c r="S14" s="565" t="s">
        <v>390</v>
      </c>
      <c r="V14" s="1672">
        <v>14</v>
      </c>
    </row>
    <row customHeight="1" ht="14.699999999999998">
      <c r="A15" s="1672"/>
      <c r="C15" s="1581"/>
      <c r="D15" s="2299"/>
      <c r="E15" s="2301"/>
      <c r="F15" s="470"/>
      <c r="G15" s="934"/>
      <c r="H15" s="934" t="s">
        <v>392</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