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Т-гор.вода'!$67:$68</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Т-гор.вода'!$69:$70</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Т-гор.вода'!$T$66</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Т-гор.вода'!$DQ$37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Т-гор.вода'!$44:$63</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Т-гор.вода'!$42:$65</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Т-гор.вода'!$43:$64</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Т-гор.вода'!$DQ$67</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<sst xmlns="http://schemas.openxmlformats.org/spreadsheetml/2006/main" count="9747" uniqueCount="2598">
  <si>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</si>
  <si>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</si>
  <si>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</si>
  <si>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</si>
  <si>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</si>
  <si>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</si>
  <si>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</si>
  <si>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</si>
  <si>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</si>
  <si>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</si>
  <si>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</si>
  <si>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</si>
  <si>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</si>
  <si>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26361181</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</si>
  <si>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</si>
  <si>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</si>
  <si>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</si>
  <si>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</si>
  <si>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</si>
  <si>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</si>
  <si>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</si>
  <si>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</si>
  <si>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</si>
  <si>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</si>
  <si>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</si>
  <si>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</si>
  <si>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</si>
  <si>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</si>
  <si>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</si>
  <si>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</si>
  <si>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</si>
  <si>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</si>
  <si>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</si>
  <si>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</si>
  <si>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</si>
  <si>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</si>
  <si>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</si>
  <si>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</si>
  <si>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</si>
  <si>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</si>
  <si>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</si>
  <si>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t>
  </si>
  <si>
    <t>Наименование органа регулирования, принявшего решение об утверждении тарифов</t>
  </si>
  <si>
    <t>УГРЦТ НАО</t>
  </si>
  <si>
    <t>Источник официального опубликования решения</t>
  </si>
  <si>
    <t>http://pravo.gov.ru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</si>
  <si>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</si>
  <si>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</si>
  <si>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Нарьян-Марское МУ ПОКиТС</t>
  </si>
  <si>
    <t>Наименование (описание) обособленного подразделения</t>
  </si>
  <si>
    <t>ИНН</t>
  </si>
  <si>
    <t>8301020069</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</si>
  <si>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</si>
  <si>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</si>
  <si>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</si>
  <si>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</si>
  <si>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</si>
  <si>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</si>
  <si>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</si>
  <si>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</si>
  <si>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</si>
  <si>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</si>
  <si>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</si>
  <si>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</si>
  <si>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</si>
  <si>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</si>
  <si>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</si>
  <si>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</si>
  <si>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</si>
  <si>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</si>
  <si>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</si>
  <si>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Нарьян-Мар, ул. Рабочая 18А</t>
  </si>
  <si>
    <t>Фамилия, имя, отчество руководителя</t>
  </si>
  <si>
    <t>Бетхер Наталья Николаевна</t>
  </si>
  <si>
    <t>Ответственный за заполнение формы</t>
  </si>
  <si>
    <t>Фамилия, имя, отчество</t>
  </si>
  <si>
    <t>Маркова Надежда Федоровна</t>
  </si>
  <si>
    <t>Должность</t>
  </si>
  <si>
    <t>экономист</t>
  </si>
  <si>
    <t>Контактный телефон</t>
  </si>
  <si>
    <t>8(81853)42920</t>
  </si>
  <si>
    <t>E-mail</t>
  </si>
  <si>
    <t>peopok2@mail.ru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</si>
  <si>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</si>
  <si>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</si>
  <si>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</si>
  <si>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</si>
  <si>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</si>
  <si>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</si>
  <si>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</si>
  <si>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</si>
  <si>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</si>
  <si>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</si>
  <si>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</si>
  <si>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</si>
  <si>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</si>
  <si>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</si>
  <si>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</si>
  <si>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</si>
  <si>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</si>
  <si>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t>
  </si>
  <si>
    <t>Городской округ "Город Нарьян-Мар"</t>
  </si>
  <si>
    <t>11851000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</si>
  <si>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</si>
  <si>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</si>
  <si>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</si>
  <si>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</si>
  <si>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</si>
  <si>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</si>
  <si>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</si>
  <si>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</si>
  <si>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</si>
  <si>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</si>
  <si>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</si>
  <si>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</si>
  <si>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</si>
  <si>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</si>
  <si>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</si>
  <si>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</si>
  <si>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</si>
  <si>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</si>
  <si>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</si>
  <si>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</si>
  <si>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</si>
  <si>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</si>
  <si>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</si>
  <si>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</si>
  <si>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</si>
  <si>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</si>
  <si>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</si>
  <si>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</si>
  <si>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</si>
  <si>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</si>
  <si>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</si>
  <si>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</si>
  <si>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</si>
  <si>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</si>
  <si>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</si>
  <si>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</si>
  <si>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</si>
  <si>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</si>
  <si>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</si>
  <si>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</si>
  <si>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</si>
  <si>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</si>
  <si>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</si>
  <si>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</si>
  <si>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</si>
  <si>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</si>
  <si>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</si>
  <si>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</si>
  <si>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</si>
  <si>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</si>
  <si>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</si>
  <si>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</si>
  <si>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</si>
  <si>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</si>
  <si>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</si>
  <si>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</si>
  <si>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</si>
  <si>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</si>
  <si>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</si>
  <si>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</si>
  <si>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</si>
  <si>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</si>
  <si>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</si>
  <si>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</si>
  <si>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</si>
  <si>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</si>
  <si>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</si>
  <si>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</si>
  <si>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</si>
  <si>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</si>
  <si>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</si>
  <si>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</si>
  <si>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</si>
  <si>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</si>
  <si>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</si>
  <si>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</si>
  <si>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</si>
  <si>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</si>
  <si>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</si>
  <si>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</si>
  <si>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</si>
  <si>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</si>
  <si>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</si>
  <si>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</si>
  <si>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</si>
  <si>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</si>
  <si>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</si>
  <si>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</si>
  <si>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</si>
  <si>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</si>
  <si>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</si>
  <si>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</si>
  <si>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</si>
  <si>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</si>
  <si>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</si>
  <si>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</si>
  <si>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</si>
  <si>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</si>
  <si>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</si>
  <si>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</si>
  <si>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</si>
  <si>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</si>
  <si>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</si>
  <si>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</si>
  <si>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</si>
  <si>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</si>
  <si>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</si>
  <si>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</si>
  <si>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</si>
  <si>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</si>
  <si>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</si>
  <si>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</si>
  <si>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</si>
  <si>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</si>
  <si>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</si>
  <si>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</si>
  <si>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</si>
  <si>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</si>
  <si>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</si>
  <si>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</si>
  <si>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</si>
  <si>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</si>
  <si>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</si>
  <si>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</si>
  <si>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</si>
  <si>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</si>
  <si>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</si>
  <si>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</si>
  <si>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</si>
  <si>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</si>
  <si>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</si>
  <si>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</si>
  <si>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</si>
  <si>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</si>
  <si>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</si>
  <si>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</si>
  <si>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</si>
  <si>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</si>
  <si>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</si>
  <si>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</si>
  <si>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</si>
  <si>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</si>
  <si>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</si>
  <si>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</si>
  <si>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</si>
  <si>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</si>
  <si>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</si>
  <si>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</si>
  <si>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</si>
  <si>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</si>
  <si>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</si>
  <si>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</si>
  <si>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</si>
  <si>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</si>
  <si>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</si>
  <si>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</si>
  <si>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</si>
  <si>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</si>
  <si>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</si>
  <si>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</si>
  <si>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</si>
  <si>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</si>
  <si>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</si>
  <si>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</si>
  <si>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</si>
  <si>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</si>
  <si>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</si>
  <si>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</si>
  <si>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</si>
  <si>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</si>
  <si>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</si>
  <si>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</si>
  <si>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</si>
  <si>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</si>
  <si>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</si>
  <si>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</si>
  <si>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</si>
  <si>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</si>
  <si>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</si>
  <si>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</si>
  <si>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</si>
  <si>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</si>
  <si>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</si>
  <si>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</si>
  <si>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</si>
  <si>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</si>
  <si>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</si>
  <si>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</si>
  <si>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</si>
  <si>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</si>
  <si>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</si>
  <si>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</si>
  <si>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</si>
  <si>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</si>
  <si>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</si>
  <si>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</si>
  <si>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</si>
  <si>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</si>
  <si>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</si>
  <si>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</si>
  <si>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</si>
  <si>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</si>
  <si>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</si>
  <si>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</si>
  <si>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</si>
  <si>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</si>
  <si>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</si>
  <si>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</si>
  <si>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</si>
  <si>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</si>
  <si>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</si>
  <si>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</si>
  <si>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</si>
  <si>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</si>
  <si>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</si>
  <si>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</si>
  <si>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</si>
  <si>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</si>
  <si>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</si>
  <si>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</si>
  <si>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</si>
  <si>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</si>
  <si>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</si>
  <si>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</si>
  <si>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</si>
  <si>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</si>
  <si>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</si>
  <si>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</si>
  <si>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</si>
  <si>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</si>
  <si>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</si>
  <si>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</si>
  <si>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</si>
  <si>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</si>
  <si>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</si>
  <si>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</si>
  <si>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</si>
  <si>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</si>
  <si>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</si>
  <si>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</si>
  <si>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</si>
  <si>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</si>
  <si>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</si>
  <si>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</si>
  <si>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</si>
  <si>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</si>
  <si>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</si>
  <si>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</si>
  <si>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</si>
  <si>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</si>
  <si>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</si>
  <si>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</si>
  <si>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</si>
  <si>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</si>
  <si>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</si>
  <si>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</si>
  <si>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</si>
  <si>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</si>
  <si>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</si>
  <si>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</si>
  <si>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</si>
  <si>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</si>
  <si>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</si>
  <si>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</si>
  <si>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</si>
  <si>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</si>
  <si>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</si>
  <si>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</si>
  <si>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</si>
  <si>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</si>
  <si>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</si>
  <si>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</si>
  <si>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</si>
  <si>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</si>
  <si>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</si>
  <si>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</si>
  <si>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</si>
  <si>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</si>
  <si>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</si>
  <si>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</si>
  <si>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</si>
  <si>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</si>
  <si>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</si>
  <si>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</si>
  <si>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</si>
  <si>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</si>
  <si>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</si>
  <si>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</si>
  <si>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</si>
  <si>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</si>
  <si>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</si>
  <si>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</si>
  <si>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</si>
  <si>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</si>
  <si>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</si>
  <si>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</si>
  <si>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</si>
  <si>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</si>
  <si>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</si>
  <si>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</si>
  <si>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</si>
  <si>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</si>
  <si>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</si>
  <si>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</si>
  <si>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</si>
  <si>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</si>
  <si>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</si>
  <si>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</si>
  <si>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</si>
  <si>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</si>
  <si>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</si>
  <si>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</si>
  <si>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</si>
  <si>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</si>
  <si>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</si>
  <si>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</si>
  <si>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</si>
  <si>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</si>
  <si>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</si>
  <si>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</si>
  <si>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</si>
  <si>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</si>
  <si>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</si>
  <si>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</si>
  <si>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</si>
  <si>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</si>
  <si>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</si>
  <si>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</si>
  <si>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</si>
  <si>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</si>
  <si>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</si>
  <si>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</si>
  <si>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</si>
  <si>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</si>
  <si>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</si>
  <si>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</si>
  <si>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</si>
  <si>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</si>
  <si>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</si>
  <si>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</si>
  <si>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</si>
  <si>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</si>
  <si>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</si>
  <si>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</si>
  <si>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</si>
  <si>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</si>
  <si>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</si>
  <si>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</si>
  <si>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</si>
  <si>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</si>
  <si>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</si>
  <si>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</si>
  <si>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</si>
  <si>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</si>
  <si>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</si>
  <si>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</si>
  <si>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</si>
  <si>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</si>
  <si>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</si>
  <si>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</si>
  <si>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</si>
  <si>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</si>
  <si>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</si>
  <si>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</si>
  <si>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</si>
  <si>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</si>
  <si>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</si>
  <si>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</si>
  <si>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</si>
  <si>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</si>
  <si>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</si>
  <si>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</si>
  <si>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</si>
  <si>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</si>
  <si>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</si>
  <si>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</si>
  <si>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</si>
  <si>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</si>
  <si>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</si>
  <si>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</si>
  <si>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</si>
  <si>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</si>
  <si>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</si>
  <si>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</si>
  <si>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</si>
  <si>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</si>
  <si>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</si>
  <si>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</si>
  <si>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</si>
  <si>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</si>
  <si>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</si>
  <si>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</si>
  <si>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</si>
  <si>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</si>
  <si>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</si>
  <si>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</si>
  <si>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</si>
  <si>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</si>
  <si>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</si>
  <si>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</si>
  <si>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</si>
  <si>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</si>
  <si>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</si>
  <si>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</si>
  <si>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</si>
  <si>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</si>
  <si>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</si>
  <si>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</si>
  <si>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</si>
  <si>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</si>
  <si>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</si>
  <si>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</si>
  <si>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</si>
  <si>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</si>
  <si>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</si>
  <si>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</si>
  <si>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</si>
  <si>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</si>
  <si>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</si>
  <si>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</si>
  <si>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</si>
  <si>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</si>
  <si>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</si>
  <si>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</si>
  <si>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</si>
  <si>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</si>
  <si>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</si>
  <si>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</si>
  <si>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</si>
  <si>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</si>
  <si>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</si>
  <si>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</si>
  <si>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</si>
  <si>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</si>
  <si>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</si>
  <si>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</si>
  <si>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</si>
  <si>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</si>
  <si>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</si>
  <si>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</si>
  <si>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</si>
  <si>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</si>
  <si>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</si>
  <si>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</si>
  <si>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</si>
  <si>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</si>
  <si>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</si>
  <si>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</si>
  <si>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</si>
  <si>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</si>
  <si>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</si>
  <si>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</si>
  <si>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</si>
  <si>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</si>
  <si>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</si>
  <si>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</si>
  <si>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</si>
  <si>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</si>
  <si>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</si>
  <si>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</si>
  <si>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</si>
  <si>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</si>
  <si>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</si>
  <si>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</si>
  <si>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</si>
  <si>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</si>
  <si>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</si>
  <si>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</si>
  <si>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</si>
  <si>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</si>
  <si>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</si>
  <si>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</si>
  <si>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</si>
  <si>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</si>
  <si>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</si>
  <si>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</si>
  <si>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</si>
  <si>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</si>
  <si>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</si>
  <si>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</si>
  <si>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</si>
  <si>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</si>
  <si>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</si>
  <si>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</si>
  <si>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</si>
  <si>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</si>
  <si>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</si>
  <si>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</si>
  <si>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</si>
  <si>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</si>
  <si>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</si>
  <si>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</si>
  <si>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</si>
  <si>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</si>
  <si>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</si>
  <si>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</si>
  <si>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</si>
  <si>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</si>
  <si>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</si>
  <si>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</si>
  <si>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</si>
  <si>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</si>
  <si>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</si>
  <si>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</si>
  <si>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</si>
  <si>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</si>
  <si>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</si>
  <si>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</si>
  <si>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</si>
  <si>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</si>
  <si>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</si>
  <si>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</si>
  <si>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</si>
  <si>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</si>
  <si>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</si>
  <si>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</si>
  <si>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</si>
  <si>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</si>
  <si>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</si>
  <si>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</si>
  <si>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</si>
  <si>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</si>
  <si>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</si>
  <si>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</si>
  <si>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</si>
  <si>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</si>
  <si>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</si>
  <si>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</si>
  <si>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</si>
  <si>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</si>
  <si>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</si>
  <si>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</si>
  <si>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</si>
  <si>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</si>
  <si>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</si>
  <si>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</si>
  <si>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</si>
  <si>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</si>
  <si>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</si>
  <si>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</si>
  <si>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</si>
  <si>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</si>
  <si>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</si>
  <si>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</si>
  <si>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</si>
  <si>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</si>
  <si>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</si>
  <si>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</si>
  <si>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</si>
  <si>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</si>
  <si>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</si>
  <si>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</si>
  <si>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</si>
  <si>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</si>
  <si>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</si>
  <si>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</si>
  <si>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</si>
  <si>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</si>
  <si>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</si>
  <si>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</si>
  <si>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</si>
  <si>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</si>
  <si>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</si>
  <si>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</si>
  <si>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</si>
  <si>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</si>
  <si>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</si>
  <si>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</si>
  <si>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</si>
  <si>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</si>
  <si>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</si>
  <si>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</si>
  <si>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</si>
  <si>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</si>
  <si>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</si>
  <si>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</si>
  <si>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</si>
  <si>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</si>
  <si>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</si>
  <si>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</si>
  <si>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</si>
  <si>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</si>
  <si>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</si>
  <si>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</si>
  <si>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</si>
  <si>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</si>
  <si>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</si>
  <si>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</si>
  <si>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</si>
  <si>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</si>
  <si>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</si>
  <si>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</si>
  <si>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</si>
  <si>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</si>
  <si>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</si>
  <si>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</si>
  <si>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</si>
  <si>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</si>
  <si>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</si>
  <si>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</si>
  <si>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</si>
  <si>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</si>
  <si>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</si>
  <si>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</si>
  <si>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</si>
  <si>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</si>
  <si>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</si>
  <si>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</si>
  <si>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</si>
  <si>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</si>
  <si>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</si>
  <si>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</si>
  <si>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</si>
  <si>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</si>
  <si>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</si>
  <si>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</si>
  <si>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</si>
  <si>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</si>
  <si>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</si>
  <si>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</si>
  <si>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</si>
  <si>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</si>
  <si>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</si>
  <si>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</si>
  <si>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</si>
  <si>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</si>
  <si>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</si>
  <si>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</si>
  <si>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</si>
  <si>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</si>
  <si>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</si>
  <si>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</si>
  <si>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</si>
  <si>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</si>
  <si>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</si>
  <si>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</si>
  <si>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</si>
  <si>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</si>
  <si>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</si>
  <si>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</si>
  <si>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</si>
  <si>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</si>
  <si>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</si>
  <si>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</si>
  <si>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</si>
  <si>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</si>
  <si>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</si>
  <si>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</si>
  <si>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</si>
  <si>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</si>
  <si>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</si>
  <si>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</si>
  <si>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</si>
  <si>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</si>
  <si>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</si>
  <si>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</si>
  <si>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</si>
  <si>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</si>
  <si>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</si>
  <si>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</si>
  <si>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</si>
  <si>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</si>
  <si>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</si>
  <si>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</si>
  <si>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</si>
  <si>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</si>
  <si>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</si>
  <si>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</si>
  <si>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</si>
  <si>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</si>
  <si>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</si>
  <si>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</si>
  <si>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</si>
  <si>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</si>
  <si>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</si>
  <si>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</si>
  <si>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</si>
  <si>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</si>
  <si>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</si>
  <si>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</si>
  <si>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</si>
  <si>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</si>
  <si>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</si>
  <si>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</si>
  <si>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</si>
  <si>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</si>
  <si>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</si>
  <si>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</si>
  <si>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</si>
  <si>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</si>
  <si>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</si>
  <si>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</si>
  <si>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</si>
  <si>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</si>
  <si>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</si>
  <si>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</si>
  <si>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</si>
  <si>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</si>
  <si>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</si>
  <si>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</si>
  <si>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</si>
  <si>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</si>
  <si>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</si>
  <si>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</si>
  <si>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</si>
  <si>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</si>
  <si>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</si>
  <si>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</si>
  <si>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</si>
  <si>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</si>
  <si>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</si>
  <si>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</si>
  <si>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</si>
  <si>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</si>
  <si>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</si>
  <si>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</si>
  <si>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</si>
  <si>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</si>
  <si>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</si>
  <si>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</si>
  <si>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</si>
  <si>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</si>
  <si>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</si>
  <si>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</si>
  <si>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</si>
  <si>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</si>
  <si>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</si>
  <si>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</si>
  <si>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</si>
  <si>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</si>
  <si>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</si>
  <si>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</si>
  <si>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</si>
  <si>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</si>
  <si>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</si>
  <si>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</si>
  <si>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</si>
  <si>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</si>
  <si>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</si>
  <si>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</si>
  <si>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</si>
  <si>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</si>
  <si>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</si>
  <si>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</si>
  <si>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</si>
  <si>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</si>
  <si>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</si>
  <si>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</si>
  <si>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</si>
  <si>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</si>
  <si>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</si>
  <si>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</si>
  <si>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</si>
  <si>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</si>
  <si>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</si>
  <si>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</si>
  <si>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</si>
  <si>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</si>
  <si>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</si>
  <si>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</si>
  <si>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</si>
  <si>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</si>
  <si>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</si>
  <si>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</si>
  <si>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</si>
  <si>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</si>
  <si>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</si>
  <si>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</si>
  <si>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</si>
  <si>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</si>
  <si>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</si>
  <si>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</si>
  <si>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</si>
  <si>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</si>
  <si>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</si>
  <si>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</si>
  <si>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</si>
  <si>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</si>
  <si>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</si>
  <si>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</si>
  <si>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</si>
  <si>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</si>
  <si>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</si>
  <si>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</si>
  <si>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</si>
  <si>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</si>
  <si>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</si>
  <si>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</si>
  <si>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</si>
  <si>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</si>
  <si>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</si>
  <si>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</si>
  <si>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</si>
  <si>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</si>
  <si>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</si>
  <si>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</si>
  <si>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</si>
  <si>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</si>
  <si>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</si>
  <si>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</si>
  <si>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</si>
  <si>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</si>
  <si>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</si>
  <si>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</si>
  <si>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</si>
  <si>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</si>
  <si>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</si>
  <si>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</si>
  <si>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</si>
  <si>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</si>
  <si>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</si>
  <si>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</si>
  <si>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</si>
  <si>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</si>
  <si>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</si>
  <si>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</si>
  <si>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</si>
  <si>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</si>
  <si>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</si>
  <si>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</si>
  <si>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</si>
  <si>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</si>
  <si>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</si>
  <si>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</si>
  <si>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</si>
  <si>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</si>
  <si>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</si>
  <si>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</si>
  <si>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</si>
  <si>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</si>
  <si>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</si>
  <si>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</si>
  <si>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</si>
  <si>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</si>
  <si>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</si>
  <si>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</si>
  <si>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</si>
  <si>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</si>
  <si>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</si>
  <si>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</si>
  <si>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</si>
  <si>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</si>
  <si>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</si>
  <si>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</si>
  <si>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</si>
  <si>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</si>
  <si>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</si>
  <si>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</si>
  <si>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</si>
  <si>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</si>
  <si>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</si>
  <si>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</si>
  <si>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</si>
  <si>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</si>
  <si>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</si>
  <si>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</si>
  <si>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</si>
  <si>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</si>
  <si>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</si>
  <si>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</si>
  <si>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</si>
  <si>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</si>
  <si>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</si>
  <si>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</si>
  <si>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</si>
  <si>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</si>
  <si>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</si>
  <si>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</si>
  <si>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</si>
  <si>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</si>
  <si>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</si>
  <si>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</si>
  <si>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</si>
  <si>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</si>
  <si>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</si>
  <si>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</si>
  <si>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</si>
  <si>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</si>
  <si>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</si>
  <si>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</si>
  <si>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</si>
  <si>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</si>
  <si>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</si>
  <si>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</si>
  <si>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</si>
  <si>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</si>
  <si>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</si>
  <si>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</si>
  <si>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</si>
  <si>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</si>
  <si>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</si>
  <si>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</si>
  <si>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</si>
  <si>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</si>
  <si>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</si>
  <si>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</si>
  <si>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</si>
  <si>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</si>
  <si>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</si>
  <si>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</si>
  <si>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</si>
  <si>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</si>
  <si>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</si>
  <si>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</si>
  <si>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</si>
  <si>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</si>
  <si>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</si>
  <si>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</si>
  <si>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</si>
  <si>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</si>
  <si>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</si>
  <si>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</si>
  <si>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</si>
  <si>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</si>
  <si>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</si>
  <si>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</si>
  <si>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</si>
  <si>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</si>
  <si>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</si>
  <si>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</si>
  <si>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</si>
  <si>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</si>
  <si>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</si>
  <si>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</si>
  <si>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</si>
  <si>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</si>
  <si>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</si>
  <si>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</si>
  <si>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</si>
  <si>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</si>
  <si>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</si>
  <si>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</si>
  <si>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</si>
  <si>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</si>
  <si>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</si>
  <si>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</si>
  <si>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</si>
  <si>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</si>
  <si>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</si>
  <si>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</si>
  <si>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</si>
  <si>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</si>
  <si>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</si>
  <si>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</si>
  <si>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</si>
  <si>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</si>
  <si>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</si>
  <si>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</si>
  <si>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</si>
  <si>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</si>
  <si>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</si>
  <si>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</si>
  <si>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</si>
  <si>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</si>
  <si>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</si>
  <si>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</si>
  <si>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</si>
  <si>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</si>
  <si>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</si>
  <si>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</si>
  <si>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</si>
  <si>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</si>
  <si>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</si>
  <si>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</si>
  <si>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</si>
  <si>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</si>
  <si>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</si>
  <si>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</si>
  <si>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</si>
  <si>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</si>
  <si>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</si>
  <si>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</si>
  <si>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</si>
  <si>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</si>
  <si>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</si>
  <si>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</si>
  <si>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</si>
  <si>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</si>
  <si>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</si>
  <si>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</si>
  <si>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</si>
  <si>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</si>
  <si>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</si>
  <si>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</si>
  <si>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</si>
  <si>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</si>
  <si>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</si>
  <si>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</si>
  <si>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</si>
  <si>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</si>
  <si>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</si>
  <si>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</si>
  <si>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</si>
  <si>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</si>
  <si>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</si>
  <si>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</si>
  <si>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</si>
  <si>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</si>
  <si>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</si>
  <si>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</si>
  <si>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</si>
  <si>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</si>
  <si>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</si>
  <si>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</si>
  <si>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</si>
  <si>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</si>
  <si>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</si>
  <si>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</si>
  <si>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</si>
  <si>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</si>
  <si>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</si>
  <si>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</si>
  <si>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</si>
  <si>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</si>
  <si>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</si>
  <si>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</si>
  <si>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</si>
  <si>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</si>
  <si>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</si>
  <si>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</si>
  <si>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</si>
  <si>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</si>
  <si>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</si>
  <si>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</si>
  <si>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</si>
  <si>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</si>
  <si>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</si>
  <si>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</si>
  <si>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</si>
  <si>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</si>
  <si>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</si>
  <si>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</si>
  <si>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</si>
  <si>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</si>
  <si>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</si>
  <si>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</si>
  <si>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http://www.nmpokits.ru/</t>
  </si>
  <si>
    <t>https://portal.eias.ru/Portal/DownloadPage.aspx?type=12&amp;guid=599bf1f4-534c-4db4-a8ee-6fe7b3754e94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</si>
  <si>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</si>
  <si>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https://portal.eias.ru/Portal/DownloadPage.aspx?type=12&amp;guid=bae04b80-b598-4598-af2b-f6e10894f533</t>
  </si>
  <si>
    <t>Регламент подключения к централизованной системе ХВС, ГВС, утверждаемый регулируемой организацией, включающий сроки, состав и последовательность действий при осуществлении подключения к централизованной системе холодного водоснабжения, свед</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</si>
  <si>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</si>
  <si>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регламент</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</si>
  <si>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</si>
  <si>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</si>
  <si>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8(81853)40560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</si>
  <si>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</si>
  <si>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</si>
  <si>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</si>
  <si>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</si>
  <si>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</si>
  <si>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</si>
  <si>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</si>
  <si>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</si>
  <si>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</si>
  <si>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</si>
  <si>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</si>
  <si>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</si>
  <si>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</si>
  <si>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</si>
  <si>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</si>
  <si>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</si>
  <si>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</si>
  <si>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</si>
  <si>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</si>
  <si>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</si>
  <si>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</si>
  <si>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</si>
  <si>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</si>
  <si>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</si>
  <si>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</si>
  <si>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</si>
  <si>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</si>
  <si>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</si>
  <si>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</si>
  <si>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</si>
  <si>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</si>
  <si>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</si>
  <si>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</si>
  <si>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</si>
  <si>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</si>
  <si>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</si>
  <si>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</si>
  <si>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</si>
  <si>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</si>
  <si>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</si>
  <si>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</si>
  <si>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</si>
  <si>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</si>
  <si>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</si>
  <si>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</si>
  <si>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</si>
  <si>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</si>
  <si>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</si>
  <si>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</si>
  <si>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</si>
  <si>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</si>
  <si>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</si>
  <si>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</si>
  <si>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</si>
  <si>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</si>
  <si>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</si>
  <si>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</si>
  <si>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</si>
  <si>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</si>
  <si>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</si>
  <si>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</si>
  <si>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</si>
  <si>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</si>
  <si>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</si>
  <si>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</si>
  <si>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</si>
  <si>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</si>
  <si>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</si>
  <si>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</si>
  <si>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</si>
  <si>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</si>
  <si>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</si>
  <si>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</si>
  <si>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</si>
  <si>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</si>
  <si>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</si>
  <si>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</si>
  <si>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</si>
  <si>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</si>
  <si>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</si>
  <si>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</si>
  <si>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</si>
  <si>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</si>
  <si>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</si>
  <si>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</si>
  <si>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</si>
  <si>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</si>
  <si>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</si>
  <si>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</si>
  <si>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</si>
  <si>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</si>
  <si>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</si>
  <si>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</si>
  <si>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</si>
  <si>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</si>
  <si>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</si>
  <si>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</si>
  <si>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</si>
  <si>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</si>
  <si>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</si>
  <si>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</si>
  <si>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</si>
  <si>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</si>
  <si>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</si>
  <si>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</si>
  <si>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</si>
  <si>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</si>
  <si>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</si>
  <si>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</si>
  <si>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</si>
  <si>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</si>
  <si>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</si>
  <si>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</si>
  <si>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</si>
  <si>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</si>
  <si>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</si>
  <si>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</si>
  <si>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</si>
  <si>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</si>
  <si>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</si>
  <si>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</si>
  <si>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</si>
  <si>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</si>
  <si>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</si>
  <si>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</si>
  <si>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</si>
  <si>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</si>
  <si>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</si>
  <si>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</si>
  <si>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</si>
  <si>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</si>
  <si>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</si>
  <si>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</si>
  <si>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</si>
  <si>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</si>
  <si>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</si>
  <si>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</si>
  <si>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</si>
  <si>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</si>
  <si>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</si>
  <si>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</si>
  <si>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</si>
  <si>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</si>
  <si>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</si>
  <si>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</si>
  <si>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</si>
  <si>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</si>
  <si>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</si>
  <si>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</si>
  <si>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</si>
  <si>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</si>
  <si>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</si>
  <si>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</si>
  <si>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</si>
  <si>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</si>
  <si>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</si>
  <si>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</si>
  <si>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</si>
  <si>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</si>
  <si>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</si>
  <si>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</si>
  <si>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</si>
  <si>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</si>
  <si>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</si>
  <si>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</si>
  <si>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</si>
  <si>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</si>
  <si>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</si>
  <si>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</si>
  <si>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</si>
  <si>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</si>
  <si>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</si>
  <si>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</si>
  <si>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</si>
  <si>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</si>
  <si>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</si>
  <si>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</si>
  <si>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</si>
  <si>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</si>
  <si>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</si>
  <si>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</si>
  <si>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</si>
  <si>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</si>
  <si>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</si>
  <si>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</si>
  <si>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</si>
  <si>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</si>
  <si>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</si>
  <si>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</si>
  <si>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</si>
  <si>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</si>
  <si>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</si>
  <si>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</si>
  <si>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</si>
  <si>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</si>
  <si>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</si>
  <si>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</si>
  <si>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</si>
  <si>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</si>
  <si>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</si>
  <si>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</si>
  <si>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</si>
  <si>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</si>
  <si>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</si>
  <si>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</si>
  <si>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</si>
  <si>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</si>
  <si>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</si>
  <si>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</si>
  <si>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</si>
  <si>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</si>
  <si>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</si>
  <si>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</si>
  <si>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</si>
  <si>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</si>
  <si>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</si>
  <si>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</si>
  <si>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</si>
  <si>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</si>
  <si>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</si>
  <si>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</si>
  <si>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</si>
  <si>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</si>
  <si>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</si>
  <si>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</si>
  <si>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</si>
  <si>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</si>
  <si>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</si>
  <si>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</si>
  <si>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</si>
  <si>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</si>
  <si>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</si>
  <si>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</si>
  <si>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</si>
  <si>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</si>
  <si>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</si>
  <si>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</si>
  <si>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</si>
  <si>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</si>
  <si>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</si>
  <si>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</si>
  <si>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</si>
  <si>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</si>
  <si>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</si>
  <si>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</si>
  <si>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</si>
  <si>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</si>
  <si>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</si>
  <si>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</si>
  <si>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</si>
  <si>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</si>
  <si>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</si>
  <si>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</si>
  <si>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</si>
  <si>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</si>
  <si>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</si>
  <si>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</si>
  <si>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</si>
  <si>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</si>
  <si>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</si>
  <si>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</si>
  <si>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</si>
  <si>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</si>
  <si>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</si>
  <si>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</si>
  <si>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</si>
  <si>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</si>
  <si>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</si>
  <si>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</si>
  <si>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</si>
  <si>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</si>
  <si>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</si>
  <si>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</si>
  <si>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</si>
  <si>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</si>
  <si>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</si>
  <si>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</si>
  <si>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</si>
  <si>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</si>
  <si>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</si>
  <si>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</si>
  <si>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</si>
  <si>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</si>
  <si>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</si>
  <si>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</si>
  <si>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</si>
  <si>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</si>
  <si>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</si>
  <si>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</si>
  <si>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</si>
  <si>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</si>
  <si>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</si>
  <si>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</si>
  <si>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</si>
  <si>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</si>
  <si>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</si>
  <si>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</si>
  <si>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</si>
  <si>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</si>
  <si>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</si>
  <si>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</si>
  <si>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</si>
  <si>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</si>
  <si>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</si>
  <si>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</si>
  <si>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</si>
  <si>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</si>
  <si>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</si>
  <si>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</si>
  <si>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</si>
  <si>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</si>
  <si>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</si>
  <si>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</si>
  <si>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</si>
  <si>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</si>
  <si>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</si>
  <si>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</si>
  <si>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</si>
  <si>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</si>
  <si>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</si>
  <si>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</si>
  <si>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</si>
  <si>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</si>
  <si>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</si>
  <si>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</si>
  <si>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</si>
  <si>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</si>
  <si>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</si>
  <si>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</si>
  <si>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</si>
  <si>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</si>
  <si>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</si>
  <si>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</si>
  <si>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</si>
  <si>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</si>
  <si>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</si>
  <si>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</si>
  <si>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</si>
  <si>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</si>
  <si>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</si>
  <si>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</si>
  <si>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</si>
  <si>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</si>
  <si>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</si>
  <si>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</si>
  <si>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</si>
  <si>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</si>
  <si>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</si>
  <si>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</si>
  <si>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</si>
  <si>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</si>
  <si>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</si>
  <si>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</si>
  <si>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</si>
  <si>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</si>
  <si>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</si>
  <si>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</si>
  <si>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</si>
  <si>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</si>
  <si>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</si>
  <si>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</si>
  <si>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</si>
  <si>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</si>
  <si>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</si>
  <si>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</si>
  <si>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</si>
  <si>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</si>
  <si>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</si>
  <si>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</si>
  <si>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</si>
  <si>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</si>
  <si>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</si>
  <si>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</si>
  <si>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</si>
  <si>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</si>
  <si>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</si>
  <si>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</si>
  <si>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</si>
  <si>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</si>
  <si>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</si>
  <si>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</si>
  <si>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</si>
  <si>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</si>
  <si>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</si>
  <si>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</si>
  <si>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</si>
  <si>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</si>
  <si>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</si>
  <si>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</si>
  <si>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</si>
  <si>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</si>
  <si>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</si>
  <si>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</si>
  <si>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</si>
  <si>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</si>
  <si>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</si>
  <si>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</si>
  <si>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</si>
  <si>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</si>
  <si>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</si>
  <si>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</si>
  <si>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</si>
  <si>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</si>
  <si>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</si>
  <si>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</si>
  <si>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</si>
  <si>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</si>
  <si>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</si>
  <si>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</si>
  <si>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</si>
  <si>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</si>
  <si>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</si>
  <si>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</si>
  <si>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</si>
  <si>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</si>
  <si>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</si>
  <si>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</si>
  <si>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</si>
  <si>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</si>
  <si>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</si>
  <si>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</si>
  <si>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</si>
  <si>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</si>
  <si>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</si>
  <si>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</si>
  <si>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</si>
  <si>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</si>
  <si>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</si>
  <si>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</si>
  <si>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</si>
  <si>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</si>
  <si>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</si>
  <si>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</si>
  <si>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</si>
  <si>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</si>
  <si>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</si>
  <si>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</si>
  <si>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</si>
  <si>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</si>
  <si>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</si>
  <si>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</si>
  <si>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</si>
  <si>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</si>
  <si>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</si>
  <si>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</si>
  <si>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</si>
  <si>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</si>
  <si>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</si>
  <si>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</si>
  <si>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</si>
  <si>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</si>
  <si>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</si>
  <si>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</si>
  <si>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</si>
  <si>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</si>
  <si>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</si>
  <si>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</si>
  <si>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</si>
  <si>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</si>
  <si>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</si>
  <si>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</si>
  <si>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</si>
  <si>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</si>
  <si>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</si>
  <si>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</si>
  <si>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</si>
  <si>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</si>
  <si>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</si>
  <si>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</si>
  <si>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</si>
  <si>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</si>
  <si>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</si>
  <si>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</si>
  <si>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</si>
  <si>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</si>
  <si>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</si>
  <si>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</si>
  <si>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</si>
  <si>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</si>
  <si>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</si>
  <si>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</si>
  <si>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</si>
  <si>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</si>
  <si>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</si>
  <si>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</si>
  <si>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</si>
  <si>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</si>
  <si>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</si>
  <si>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</si>
  <si>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</si>
  <si>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</si>
  <si>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</si>
  <si>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</si>
  <si>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</si>
  <si>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</si>
  <si>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</si>
  <si>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</si>
  <si>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</si>
  <si>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</si>
  <si>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</si>
  <si>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</si>
  <si>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</si>
  <si>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</si>
  <si>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</si>
  <si>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</si>
  <si>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</si>
  <si>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</si>
  <si>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</si>
  <si>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</si>
  <si>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</si>
  <si>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</si>
  <si>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</si>
  <si>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</si>
  <si>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</si>
  <si>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</si>
  <si>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</si>
  <si>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</si>
  <si>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</si>
  <si>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</si>
  <si>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</si>
  <si>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</si>
  <si>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</si>
  <si>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</si>
  <si>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</si>
  <si>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</si>
  <si>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</si>
  <si>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</si>
  <si>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</si>
  <si>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</si>
  <si>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</si>
  <si>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</si>
  <si>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</si>
  <si>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</si>
  <si>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</si>
  <si>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</si>
  <si>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</si>
  <si>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</si>
  <si>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</si>
  <si>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</si>
  <si>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</si>
  <si>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</si>
  <si>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</si>
  <si>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</si>
  <si>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</si>
  <si>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</si>
  <si>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</si>
  <si>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</si>
  <si>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</si>
  <si>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</si>
  <si>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</si>
  <si>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</si>
  <si>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</si>
  <si>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</si>
  <si>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</si>
  <si>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</si>
  <si>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</si>
  <si>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</si>
  <si>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</si>
  <si>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</si>
  <si>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</si>
  <si>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</si>
  <si>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</si>
  <si>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</si>
  <si>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</si>
  <si>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</si>
  <si>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</si>
  <si>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</si>
  <si>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</si>
  <si>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</si>
  <si>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</si>
  <si>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</si>
  <si>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</si>
  <si>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</si>
  <si>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</si>
  <si>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</si>
  <si>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</si>
  <si>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</si>
  <si>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</si>
  <si>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</si>
  <si>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</si>
  <si>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</si>
  <si>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</si>
  <si>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</si>
  <si>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</si>
  <si>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</si>
  <si>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</si>
  <si>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</si>
  <si>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</si>
  <si>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</si>
  <si>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</si>
  <si>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</si>
  <si>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</si>
  <si>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</si>
  <si>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</si>
  <si>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</si>
  <si>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</si>
  <si>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</si>
  <si>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</si>
  <si>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</si>
  <si>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</si>
  <si>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</si>
  <si>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</si>
  <si>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</si>
  <si>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</si>
  <si>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</si>
  <si>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</si>
  <si>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</si>
  <si>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</si>
  <si>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</si>
  <si>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</si>
  <si>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</si>
  <si>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</si>
  <si>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</si>
  <si>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</si>
  <si>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</si>
  <si>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</si>
  <si>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</si>
  <si>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</si>
  <si>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</si>
  <si>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</si>
  <si>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</si>
  <si>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</si>
  <si>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</si>
  <si>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</si>
  <si>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</si>
  <si>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</si>
  <si>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</si>
  <si>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</si>
  <si>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</si>
  <si>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</si>
  <si>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</si>
  <si>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</si>
  <si>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</si>
  <si>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</si>
  <si>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</si>
  <si>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</si>
  <si>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</si>
  <si>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</si>
  <si>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</si>
  <si>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</si>
  <si>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</si>
  <si>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</si>
  <si>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</si>
  <si>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</si>
  <si>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</si>
  <si>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</si>
  <si>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</si>
  <si>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</si>
  <si>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</si>
  <si>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</si>
  <si>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</si>
  <si>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</si>
  <si>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</si>
  <si>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</si>
  <si>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</si>
  <si>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</si>
  <si>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</si>
  <si>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</si>
  <si>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</si>
  <si>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</si>
  <si>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</si>
  <si>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</si>
  <si>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</si>
  <si>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</si>
  <si>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</si>
  <si>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</si>
  <si>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</si>
  <si>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</si>
  <si>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</si>
  <si>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</si>
  <si>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</si>
  <si>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</si>
  <si>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</si>
  <si>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</si>
  <si>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</si>
  <si>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</si>
  <si>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</si>
  <si>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</si>
  <si>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</si>
  <si>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</si>
  <si>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</si>
  <si>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</si>
  <si>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</si>
  <si>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</si>
  <si>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</si>
  <si>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</si>
  <si>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</si>
  <si>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</si>
  <si>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</si>
  <si>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</si>
  <si>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</si>
  <si>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</si>
  <si>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</si>
  <si>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</si>
  <si>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</si>
  <si>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</si>
  <si>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</si>
  <si>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</si>
  <si>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</si>
  <si>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</si>
  <si>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</si>
  <si>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</si>
  <si>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</si>
  <si>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</si>
  <si>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</si>
  <si>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</si>
  <si>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</si>
  <si>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</si>
  <si>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</si>
  <si>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</si>
  <si>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</si>
  <si>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</si>
  <si>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</si>
  <si>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</si>
  <si>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</si>
  <si>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</si>
  <si>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</si>
  <si>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</si>
  <si>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</si>
  <si>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</si>
  <si>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</si>
  <si>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</si>
  <si>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</si>
  <si>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</si>
  <si>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</si>
  <si>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</si>
  <si>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</si>
  <si>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</si>
  <si>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</si>
  <si>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</si>
  <si>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</si>
  <si>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</si>
  <si>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</si>
  <si>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</si>
  <si>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</si>
  <si>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</si>
  <si>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</si>
  <si>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</si>
  <si>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</si>
  <si>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</si>
  <si>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</si>
  <si>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</si>
  <si>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</si>
  <si>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</si>
  <si>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</si>
  <si>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</si>
  <si>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</si>
  <si>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</si>
  <si>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</si>
  <si>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</si>
  <si>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</si>
  <si>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</si>
  <si>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</si>
  <si>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</si>
  <si>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</si>
  <si>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</si>
  <si>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</si>
  <si>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</si>
  <si>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</si>
  <si>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</si>
  <si>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</si>
  <si>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</si>
  <si>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</si>
  <si>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</si>
  <si>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</si>
  <si>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</si>
  <si>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</si>
  <si>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</si>
  <si>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</si>
  <si>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</si>
  <si>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</si>
  <si>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</si>
  <si>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</si>
  <si>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</si>
  <si>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</si>
  <si>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</si>
  <si>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</si>
  <si>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</si>
  <si>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</si>
  <si>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</si>
  <si>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</si>
  <si>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</si>
  <si>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</si>
  <si>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</si>
  <si>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</si>
  <si>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</si>
  <si>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</si>
  <si>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</si>
  <si>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</si>
  <si>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</si>
  <si>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</si>
  <si>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</si>
  <si>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</si>
  <si>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</si>
  <si>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</si>
  <si>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</si>
  <si>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</si>
  <si>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</si>
  <si>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</si>
  <si>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</si>
  <si>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</si>
  <si>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</si>
  <si>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</si>
  <si>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</si>
  <si>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</si>
  <si>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</si>
  <si>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</si>
  <si>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</si>
  <si>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</si>
  <si>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</si>
  <si>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</si>
  <si>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</si>
  <si>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</si>
  <si>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</si>
  <si>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</si>
  <si>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</si>
  <si>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</si>
  <si>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</si>
  <si>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</si>
  <si>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</si>
  <si>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</si>
  <si>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</si>
  <si>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</si>
  <si>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</si>
  <si>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</si>
  <si>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</si>
  <si>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</si>
  <si>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</si>
  <si>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</si>
  <si>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</si>
  <si>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</si>
  <si>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</si>
  <si>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</si>
  <si>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</si>
  <si>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</si>
  <si>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</si>
  <si>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</si>
  <si>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</si>
  <si>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</si>
  <si>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</si>
  <si>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</si>
  <si>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</si>
  <si>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</si>
  <si>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</si>
  <si>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</si>
  <si>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</si>
  <si>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</si>
  <si>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</si>
  <si>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</si>
  <si>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</si>
  <si>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</si>
  <si>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</si>
  <si>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</si>
  <si>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</si>
  <si>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</si>
  <si>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</si>
  <si>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</si>
  <si>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</si>
  <si>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</si>
  <si>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</si>
  <si>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</si>
  <si>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</si>
  <si>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</si>
  <si>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</si>
  <si>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</si>
  <si>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</si>
  <si>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</si>
  <si>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</si>
  <si>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</si>
  <si>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</si>
  <si>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</si>
  <si>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</si>
  <si>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</si>
  <si>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</si>
  <si>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</si>
  <si>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</si>
  <si>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</si>
  <si>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</si>
  <si>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</si>
  <si>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</si>
  <si>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</si>
  <si>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</si>
  <si>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</si>
  <si>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</si>
  <si>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</si>
  <si>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</si>
  <si>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</si>
  <si>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</si>
  <si>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</si>
  <si>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</si>
  <si>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</si>
  <si>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</si>
  <si>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</si>
  <si>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</si>
  <si>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</si>
  <si>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</si>
  <si>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</si>
  <si>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</si>
  <si>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</si>
  <si>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</si>
  <si>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</si>
  <si>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</si>
  <si>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</si>
  <si>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</si>
  <si>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</si>
  <si>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</si>
  <si>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</si>
  <si>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</si>
  <si>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</si>
  <si>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</si>
  <si>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</si>
  <si>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</si>
  <si>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</si>
  <si>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</si>
  <si>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</si>
  <si>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</si>
  <si>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</si>
  <si>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</si>
  <si>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</si>
  <si>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</si>
  <si>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</si>
  <si>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</si>
  <si>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</si>
  <si>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</si>
  <si>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</si>
  <si>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</si>
  <si>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</si>
  <si>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</si>
  <si>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</si>
  <si>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</si>
  <si>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</si>
  <si>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</si>
  <si>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</si>
  <si>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</si>
  <si>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</si>
  <si>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</si>
  <si>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</si>
  <si>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</si>
  <si>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</si>
  <si>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</si>
  <si>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</si>
  <si>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</si>
  <si>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</si>
  <si>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</si>
  <si>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</si>
  <si>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</si>
  <si>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</si>
  <si>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</si>
  <si>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</si>
  <si>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</si>
  <si>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</si>
  <si>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</si>
  <si>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</si>
  <si>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</si>
  <si>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</si>
  <si>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</si>
  <si>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</si>
  <si>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</si>
  <si>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</si>
  <si>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</si>
  <si>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</si>
  <si>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</si>
  <si>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</si>
  <si>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</si>
  <si>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</si>
  <si>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</si>
  <si>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</si>
  <si>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</si>
  <si>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</si>
  <si>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</si>
  <si>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</si>
  <si>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</si>
  <si>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</si>
  <si>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</si>
  <si>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</si>
  <si>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</si>
  <si>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</si>
  <si>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</si>
  <si>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</si>
  <si>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</si>
  <si>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</si>
  <si>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</si>
  <si>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</si>
  <si>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</si>
  <si>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</si>
  <si>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</si>
  <si>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</si>
  <si>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</si>
  <si>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</si>
  <si>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</si>
  <si>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</si>
  <si>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</si>
  <si>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</si>
  <si>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</si>
  <si>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</si>
  <si>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</si>
  <si>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</si>
  <si>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</si>
  <si>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</si>
  <si>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</si>
  <si>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</si>
  <si>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</si>
  <si>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</si>
  <si>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</si>
  <si>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</si>
  <si>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</si>
  <si>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</si>
  <si>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</si>
  <si>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</si>
  <si>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</si>
  <si>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</si>
  <si>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</si>
  <si>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</si>
  <si>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</si>
  <si>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</si>
  <si>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</si>
  <si>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</si>
  <si>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</si>
  <si>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</si>
  <si>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</si>
  <si>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</si>
  <si>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</si>
  <si>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</si>
  <si>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</si>
  <si>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</si>
  <si>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</si>
  <si>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</si>
  <si>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</si>
  <si>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</si>
  <si>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</si>
  <si>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</si>
  <si>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</si>
  <si>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</si>
  <si>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</si>
  <si>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</si>
  <si>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</si>
  <si>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</si>
  <si>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</si>
  <si>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</si>
  <si>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</si>
  <si>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</si>
  <si>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</si>
  <si>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</si>
  <si>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</si>
  <si>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</si>
  <si>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</si>
  <si>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</si>
  <si>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</si>
  <si>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</si>
  <si>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</si>
  <si>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</si>
  <si>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</si>
  <si>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</si>
  <si>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</si>
  <si>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</si>
  <si>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</si>
  <si>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</si>
  <si>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</si>
  <si>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</si>
  <si>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</si>
  <si>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</si>
  <si>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</si>
  <si>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</si>
  <si>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</si>
  <si>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</si>
  <si>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</si>
  <si>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</si>
  <si>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</si>
  <si>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</si>
  <si>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</si>
  <si>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</si>
  <si>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</si>
  <si>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</si>
  <si>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</si>
  <si>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</si>
  <si>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</si>
  <si>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</si>
  <si>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</si>
  <si>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</si>
  <si>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</si>
  <si>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</si>
  <si>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</si>
  <si>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</si>
  <si>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</si>
  <si>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</si>
  <si>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</si>
  <si>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</si>
  <si>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</si>
  <si>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</si>
  <si>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</si>
  <si>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</si>
  <si>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</si>
  <si>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</si>
  <si>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</si>
  <si>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</si>
  <si>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</si>
  <si>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</si>
  <si>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</si>
  <si>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</si>
  <si>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</si>
  <si>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</si>
  <si>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</si>
  <si>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</si>
  <si>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</si>
  <si>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</si>
  <si>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</si>
  <si>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</si>
  <si>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</si>
  <si>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</si>
  <si>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</si>
  <si>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</si>
  <si>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</si>
  <si>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</si>
  <si>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</si>
  <si>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</si>
  <si>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31500726</t>
  </si>
  <si>
    <t>ИМУП «ПОСЖИЛКОМСЕРВИС»</t>
  </si>
  <si>
    <t>2983013920</t>
  </si>
  <si>
    <t>26468919</t>
  </si>
  <si>
    <t>МП ЗР "Севержилкомсервис"</t>
  </si>
  <si>
    <t>8300010685</t>
  </si>
  <si>
    <t>26371616</t>
  </si>
  <si>
    <t>МУП "Коммунальщик" МО "Приморско-Куйский сельсовет"</t>
  </si>
  <si>
    <t>2983006962</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</si>
  <si>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</si>
  <si>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</si>
  <si>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</si>
  <si>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</si>
  <si>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</si>
  <si>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</si>
  <si>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</si>
  <si>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</si>
  <si>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</si>
  <si>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</si>
  <si>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</si>
  <si>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</si>
  <si>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</si>
  <si>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</si>
  <si>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</si>
  <si>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</si>
  <si>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</si>
  <si>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</si>
  <si>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</si>
  <si>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</si>
  <si>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</si>
  <si>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</si>
  <si>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</si>
  <si>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</si>
  <si>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</si>
  <si>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</si>
  <si>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</si>
  <si>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</si>
  <si>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</si>
  <si>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</si>
  <si>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</si>
  <si>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</si>
  <si>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</si>
  <si>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</si>
  <si>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</si>
  <si>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</si>
  <si>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</si>
  <si>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</si>
  <si>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</si>
  <si>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</si>
  <si>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</si>
  <si>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</si>
  <si>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</si>
  <si>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</si>
  <si>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</si>
  <si>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</si>
  <si>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</si>
  <si>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</si>
  <si>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</si>
  <si>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</si>
  <si>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</si>
  <si>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</si>
  <si>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</si>
  <si>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</si>
  <si>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</si>
  <si>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</si>
  <si>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</si>
  <si>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</si>
  <si>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</si>
  <si>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</si>
  <si>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</si>
  <si>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</si>
  <si>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</si>
  <si>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</si>
  <si>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</si>
  <si>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"Заполярный район"</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</si>
  <si>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</si>
  <si>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</si>
  <si>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</si>
  <si>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</si>
  <si>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</si>
  <si>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</si>
  <si>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</si>
  <si>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</si>
  <si>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</si>
  <si>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</si>
  <si>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</si>
  <si>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</si>
  <si>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</si>
  <si>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</si>
  <si>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</si>
  <si>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</si>
  <si>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</si>
  <si>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</si>
  <si>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</si>
  <si>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</si>
  <si>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</si>
  <si>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</si>
  <si>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</si>
  <si>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</si>
  <si>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</si>
  <si>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</si>
  <si>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</si>
  <si>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</si>
  <si>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</si>
  <si>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</si>
  <si>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Рабочий поселок Искателей</t>
  </si>
  <si>
    <t>11811111</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</si>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</sst>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2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01"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7" xfId="0" applyFont="1" applyBorder="1">
      <alignment vertical="top" wrapText="1"/>
    </xf>
    <xf numFmtId="0" fontId="48" fillId="0" borderId="0" xfId="0" applyFon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47" fillId="0" borderId="12" xfId="61" applyFont="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gov.ru" TargetMode="External"/><Relationship Id="rId5" Type="http://schemas.openxmlformats.org/officeDocument/2006/relationships/hyperlink" Target="mailto:peopok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nmpokits.ru/" TargetMode="External"/><Relationship Id="rId3" Type="http://schemas.openxmlformats.org/officeDocument/2006/relationships/hyperlink" Target="https://portal.eias.ru/Portal/DownloadPage.aspx?type=12&amp;guid=599bf1f4-534c-4db4-a8ee-6fe7b3754e94" TargetMode="External"/><Relationship Id="rId4" Type="http://schemas.openxmlformats.org/officeDocument/2006/relationships/hyperlink" Target="https://portal.eias.ru/Portal/DownloadPage.aspx?type=12&amp;guid=bae04b80-b598-4598-af2b-f6e10894f533" TargetMode="External"/><Relationship Id="rId5" Type="http://schemas.openxmlformats.org/officeDocument/2006/relationships/hyperlink" Target="https://portal.eias.ru/Portal/DownloadPage.aspx?type=12&amp;guid=bae04b80-b598-4598-af2b-f6e10894f53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18CA5-447B-33C7-0B5E-0.E77B48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6179" width="5.421875" customWidth="1"/>
    <col min="2" max="2" style="6179" width="9.140625" customWidth="1"/>
    <col min="3" max="3" style="6179" width="16.421875" customWidth="1"/>
    <col min="4" max="25" style="6179" width="6.28125" customWidth="1"/>
    <col min="26" max="28" style="6179"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B1C5A-83B9-CC0A-A169-0.3C5289C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712" width="9.140625" hidden="1" customWidth="1"/>
    <col min="2" max="3" style="5468" width="9.140625" hidden="1" customWidth="1"/>
    <col min="4" max="4" style="5763" width="3.00390625" customWidth="1"/>
    <col min="5" max="5" style="5468" width="6.00390625" customWidth="1"/>
    <col min="6" max="6" style="5468" width="1.7109375" hidden="1" customWidth="1"/>
    <col min="7" max="8" style="5468" width="30.00390625" customWidth="1"/>
    <col min="9" max="9" style="5468" width="8.00390625" customWidth="1"/>
    <col min="10" max="10" style="5468" width="12.140625" customWidth="1"/>
    <col min="11" max="11" style="5468" width="46.00390625" customWidth="1"/>
    <col min="12" max="12" style="5468" width="100.00390625" customWidth="1"/>
    <col min="13" max="13" style="3473" width="7.00390625" customWidth="1"/>
    <col min="14" max="22" style="5468" width="10.00390625" customWidth="1"/>
    <col min="23" max="23" style="5468" width="10.57421875" hidden="1"/>
  </cols>
  <sheetData>
    <row s="4976" customFormat="1" customHeight="1" ht="5.25" hidden="1">
      <c r="C1" s="575"/>
      <c r="D1" s="558"/>
      <c r="F1" s="575"/>
      <c r="G1" s="553" t="s">
        <v>84</v>
      </c>
      <c r="H1" s="553" t="s">
        <v>85</v>
      </c>
      <c r="I1" s="553" t="s">
        <v>86</v>
      </c>
      <c r="P1" s="553" t="s">
        <v>84</v>
      </c>
      <c r="Q1" s="553" t="s">
        <v>85</v>
      </c>
      <c r="R1" s="553" t="s">
        <v>86</v>
      </c>
      <c r="W1" s="553" t="s">
        <v>14</v>
      </c>
    </row>
    <row s="4976" customFormat="1" customHeight="1" ht="5.25" hidden="1">
      <c r="C2" s="575"/>
      <c r="D2" s="558"/>
      <c r="F2" s="575"/>
      <c r="W2" s="553">
        <v>0</v>
      </c>
    </row>
    <row s="3426" customFormat="1" customHeight="1" ht="5.25">
      <c r="A3" s="543"/>
      <c r="D3" s="550"/>
      <c r="E3" s="545"/>
      <c r="F3" s="545"/>
      <c r="G3" s="545"/>
      <c r="H3" s="545"/>
      <c r="I3" s="546"/>
      <c r="J3" s="547"/>
      <c r="K3" s="547"/>
      <c r="L3" s="547"/>
      <c r="W3" s="544">
        <v>5</v>
      </c>
    </row>
    <row customHeight="1" ht="23.25">
      <c r="D4" s="514"/>
      <c r="E4" s="2302" t="s">
        <v>392</v>
      </c>
      <c r="F4" s="2302"/>
      <c r="G4" s="2303"/>
      <c r="H4" s="2303"/>
      <c r="I4" s="2304"/>
      <c r="J4" s="555"/>
      <c r="K4" s="517"/>
      <c r="L4" s="517"/>
      <c r="W4" s="511">
        <v>22</v>
      </c>
    </row>
    <row s="5468" customFormat="1" customHeight="1" ht="18">
      <c r="A5" s="823"/>
      <c r="D5" s="886"/>
      <c r="E5" s="2278" t="str">
        <f>IF(org=0,"Не определено",org)</f>
        <v>Нарьян-Марское МУ ПОКиТС</v>
      </c>
      <c r="F5" s="2278"/>
      <c r="G5" s="2279"/>
      <c r="H5" s="2279"/>
      <c r="I5" s="2280"/>
      <c r="J5" s="555"/>
      <c r="K5" s="517"/>
      <c r="L5" s="517"/>
      <c r="M5" s="571"/>
      <c r="W5" s="822">
        <v>17</v>
      </c>
    </row>
    <row s="3426" customFormat="1" customHeight="1" ht="11.549999999999999">
      <c r="A6" s="543"/>
      <c r="D6" s="550"/>
      <c r="E6" s="545"/>
      <c r="F6" s="545"/>
      <c r="G6" s="548"/>
      <c r="H6" s="548"/>
      <c r="I6" s="549"/>
      <c r="J6" s="549"/>
      <c r="K6" s="816"/>
      <c r="L6" s="549"/>
      <c r="W6" s="544">
        <v>11</v>
      </c>
    </row>
    <row customHeight="1" ht="14.699999999999998">
      <c r="D7" s="514"/>
      <c r="E7" s="2272" t="s">
        <v>304</v>
      </c>
      <c r="F7" s="2272"/>
      <c r="G7" s="2273"/>
      <c r="H7" s="2273"/>
      <c r="I7" s="2273"/>
      <c r="J7" s="2273"/>
      <c r="K7" s="2273"/>
      <c r="L7" s="2287" t="s">
        <v>305</v>
      </c>
      <c r="W7" s="511">
        <v>14</v>
      </c>
    </row>
    <row customHeight="1" ht="48.29999999999999">
      <c r="D8" s="514"/>
      <c r="E8" s="537" t="s">
        <v>89</v>
      </c>
      <c r="F8" s="887"/>
      <c r="G8" s="529" t="s">
        <v>87</v>
      </c>
      <c r="H8" s="529" t="s">
        <v>88</v>
      </c>
      <c r="I8" s="478" t="s">
        <v>86</v>
      </c>
      <c r="J8" s="478" t="s">
        <v>393</v>
      </c>
      <c r="K8" s="478" t="s">
        <v>394</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395</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426" customFormat="1" customHeight="1" ht="15">
      <c r="A12" s="2163"/>
      <c r="B12" s="568"/>
      <c r="C12" s="568"/>
      <c r="D12" s="930"/>
      <c r="E12" s="887">
        <v>1</v>
      </c>
      <c r="F12" s="928">
        <v>23</v>
      </c>
      <c r="G12" s="927"/>
      <c r="H12" s="857"/>
      <c r="I12" s="855"/>
      <c r="J12" s="584" t="s">
        <v>62</v>
      </c>
      <c r="K12" s="1228" t="s">
        <v>28</v>
      </c>
      <c r="L12" s="2305"/>
      <c r="M12" s="575"/>
      <c r="N12" s="575"/>
      <c r="O12" s="575"/>
      <c r="P12" s="580" t="s">
        <v>396</v>
      </c>
      <c r="Q12" s="580" t="s">
        <v>397</v>
      </c>
      <c r="R12" s="581" t="s">
        <v>398</v>
      </c>
      <c r="S12" s="575" t="s">
        <v>399</v>
      </c>
      <c r="T12" s="575"/>
      <c r="U12" s="575"/>
      <c r="V12" s="575"/>
      <c r="W12" s="544">
        <v>14</v>
      </c>
    </row>
    <row customHeight="1" ht="15.75">
      <c r="A13" s="2163"/>
      <c r="B13" s="569"/>
      <c r="D13" s="570"/>
      <c r="E13" s="469"/>
      <c r="F13" s="593"/>
      <c r="G13" s="480" t="s">
        <v>103</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83</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5C512-F861-54BA-CF59-0.044923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2" style="5468" width="24.7109375" hidden="1" customWidth="1"/>
    <col min="23" max="23" style="5468" width="0.140625" hidden="1" customWidth="1"/>
    <col min="24" max="25" style="5468" width="24.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24.7109375" customWidth="1"/>
    <col min="31" max="31" style="5468" width="0.140625" customWidth="1"/>
    <col min="32" max="33" style="5468" width="24.00390625" customWidth="1"/>
    <col min="34" max="34" style="5468" width="11.00390625" customWidth="1"/>
    <col min="35" max="35" style="5468" width="3.7109375" customWidth="1"/>
    <col min="36" max="36" style="5468" width="11.00390625" customWidth="1"/>
    <col min="37" max="37" style="5468" width="8.57421875" hidden="1" customWidth="1"/>
    <col min="38" max="38" style="5468" width="4.00390625" customWidth="1"/>
    <col min="39" max="39" style="5468" width="115.00390625" customWidth="1"/>
    <col min="40" max="44" style="4976" width="10.00390625" customWidth="1"/>
    <col min="45" max="45" style="546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124</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69"/>
      <c r="R6" s="420"/>
      <c r="S6" s="1373">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373">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373">
        <f>$K8</f>
      </c>
      <c r="T8" s="1411"/>
      <c r="U8" s="364"/>
      <c r="V8" s="815"/>
      <c r="W8" s="389"/>
      <c r="X8" s="815"/>
      <c r="Y8" s="1321"/>
      <c r="Z8" s="2329"/>
      <c r="AA8" s="2171" t="s">
        <v>62</v>
      </c>
      <c r="AB8" s="2329"/>
      <c r="AC8" s="2171" t="s">
        <v>62</v>
      </c>
      <c r="AD8" s="815"/>
      <c r="AE8" s="389"/>
      <c r="AF8" s="815"/>
      <c r="AG8" s="1321"/>
      <c r="AH8" s="2329"/>
      <c r="AI8" s="2171" t="s">
        <v>62</v>
      </c>
      <c r="AJ8" s="2329"/>
      <c r="AK8" s="2171" t="s">
        <v>62</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976"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976"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976"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62</v>
      </c>
      <c r="AJ17" s="2331"/>
      <c r="AK17" s="2332" t="s">
        <v>62</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5416" customFormat="1" customHeight="1" ht="22.5" hidden="1">
      <c r="L20" s="1393"/>
      <c r="M20" s="1426"/>
      <c r="N20" s="1426"/>
      <c r="O20" s="1431" t="s">
        <v>419</v>
      </c>
      <c r="P20" s="1426"/>
      <c r="Q20" s="1435"/>
      <c r="R20" s="1435"/>
      <c r="S20" s="793"/>
      <c r="Z20" s="1431"/>
      <c r="AB20" s="1431"/>
      <c r="AC20" s="1430"/>
      <c r="AH20" s="1431"/>
      <c r="AJ20" s="1431"/>
      <c r="AK20" s="1430"/>
      <c r="AN20" s="575"/>
      <c r="AO20" s="575"/>
      <c r="AP20" s="575"/>
      <c r="AQ20" s="575"/>
      <c r="AR20" s="575"/>
      <c r="AS20" s="1224">
        <v>0</v>
      </c>
    </row>
    <row s="5416" customFormat="1" customHeight="1" ht="14.25" hidden="1">
      <c r="L21" s="1393"/>
      <c r="M21" s="1426"/>
      <c r="N21" s="1426"/>
      <c r="O21" s="1426"/>
      <c r="P21" s="1426"/>
      <c r="Q21" s="1435"/>
      <c r="R21" s="1435"/>
      <c r="S21" s="793"/>
      <c r="AC21" s="1430"/>
      <c r="AK21" s="1430"/>
      <c r="AN21" s="575"/>
      <c r="AO21" s="575"/>
      <c r="AP21" s="575"/>
      <c r="AQ21" s="575"/>
      <c r="AR21" s="575"/>
      <c r="AS21" s="1224">
        <v>0</v>
      </c>
    </row>
    <row s="5416" customFormat="1" customHeight="1" ht="14.25" hidden="1">
      <c r="L22" s="1393"/>
      <c r="M22" s="1426"/>
      <c r="N22" s="1426"/>
      <c r="O22" s="1428" t="s">
        <v>420</v>
      </c>
      <c r="P22" s="1426"/>
      <c r="Q22" s="1435"/>
      <c r="R22" s="1435"/>
      <c r="S22" s="793"/>
      <c r="T22" s="1224" t="s">
        <v>421</v>
      </c>
      <c r="AA22" s="250" t="s">
        <v>422</v>
      </c>
      <c r="AC22" s="250" t="s">
        <v>423</v>
      </c>
      <c r="AD22" s="1224" t="s">
        <v>421</v>
      </c>
      <c r="AI22" s="250" t="s">
        <v>424</v>
      </c>
      <c r="AK22" s="250" t="s">
        <v>423</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Нарьян-Марское МУ ПОКиТС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601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УГРЦТ НАО</v>
      </c>
      <c r="W29" s="2315"/>
      <c r="X29" s="2315"/>
      <c r="Y29" s="2315"/>
      <c r="Z29" s="2315"/>
      <c r="AA29" s="2315"/>
      <c r="AB29" s="2315"/>
      <c r="AC29" s="390"/>
      <c r="AD29" s="2315" t="str">
        <f>IF(TITLE_NAME_OR_PR_CHANGE="",IF(TITLE_NAME_OR_PR="","",TITLE_NAME_OR_PR),TITLE_NAME_OR_PR_CHANGE)</f>
        <v>УГРЦТ НАО</v>
      </c>
      <c r="AE29" s="2315"/>
      <c r="AF29" s="2315"/>
      <c r="AG29" s="2315"/>
      <c r="AH29" s="2315"/>
      <c r="AI29" s="2315"/>
      <c r="AJ29" s="2315"/>
      <c r="AK29" s="390"/>
      <c r="AL29" s="390"/>
      <c r="AM29" s="344"/>
      <c r="AN29" s="432"/>
      <c r="AO29" s="432"/>
      <c r="AP29" s="432"/>
      <c r="AQ29" s="432"/>
      <c r="AR29" s="432"/>
      <c r="AS29" s="482">
        <v>0</v>
      </c>
    </row>
    <row s="6011" customFormat="1" customHeight="1" ht="18.75">
      <c r="A30" s="1432"/>
      <c r="B30" s="1432"/>
      <c r="C30" s="1432"/>
      <c r="D30" s="1432"/>
      <c r="E30" s="1432"/>
      <c r="F30" s="1432"/>
      <c r="G30" s="1432"/>
      <c r="H30" s="1432"/>
      <c r="I30" s="1432"/>
      <c r="J30" s="1432"/>
      <c r="K30" s="1432"/>
      <c r="L30" s="1433"/>
      <c r="M30" s="1432"/>
      <c r="N30" s="1432"/>
      <c r="O30" s="1432"/>
      <c r="S30" s="2314" t="s">
        <v>425</v>
      </c>
      <c r="T30" s="2314"/>
      <c r="U30" s="1436"/>
      <c r="V30" s="2328" t="str">
        <f>IF(TITLE_DATE_PR_CHANGE="",IF(TITLE_DATE_PR="","",TITLE_DATE_PR),TITLE_DATE_PR_CHANGE)</f>
        <v>46008.48059027778</v>
      </c>
      <c r="W30" s="2328"/>
      <c r="X30" s="2328"/>
      <c r="Y30" s="2328"/>
      <c r="Z30" s="2328"/>
      <c r="AA30" s="2328"/>
      <c r="AB30" s="2328"/>
      <c r="AC30" s="390"/>
      <c r="AD30" s="2328" t="str">
        <f>IF(TITLE_DATE_PR_CHANGE="",IF(TITLE_DATE_PR="","",TITLE_DATE_PR),TITLE_DATE_PR_CHANGE)</f>
        <v>46008.48059027778</v>
      </c>
      <c r="AE30" s="2328"/>
      <c r="AF30" s="2328"/>
      <c r="AG30" s="2328"/>
      <c r="AH30" s="2328"/>
      <c r="AI30" s="2328"/>
      <c r="AJ30" s="2328"/>
      <c r="AK30" s="390"/>
      <c r="AL30" s="390"/>
      <c r="AM30" s="344"/>
      <c r="AN30" s="432"/>
      <c r="AO30" s="432"/>
      <c r="AP30" s="432"/>
      <c r="AQ30" s="432"/>
      <c r="AR30" s="432"/>
      <c r="AS30" s="482">
        <v>0</v>
      </c>
    </row>
    <row s="6011" customFormat="1" customHeight="1" ht="18.75">
      <c r="A31" s="1432"/>
      <c r="B31" s="1432"/>
      <c r="C31" s="1432"/>
      <c r="D31" s="1432"/>
      <c r="E31" s="1432"/>
      <c r="F31" s="1432"/>
      <c r="G31" s="1432"/>
      <c r="H31" s="1432"/>
      <c r="I31" s="1432"/>
      <c r="J31" s="1432"/>
      <c r="K31" s="1432"/>
      <c r="L31" s="1433"/>
      <c r="M31" s="1432"/>
      <c r="N31" s="1432"/>
      <c r="O31" s="1432"/>
      <c r="S31" s="2314" t="s">
        <v>426</v>
      </c>
      <c r="T31" s="2314"/>
      <c r="U31" s="1436"/>
      <c r="V31" s="2315" t="str">
        <f>IF(TITLE_NUMBER_PR_CHANGE="",IF(TITLE_NUMBER_PR="","",TITLE_NUMBER_PR),TITLE_NUMBER_PR_CHANGE)</f>
        <v>58</v>
      </c>
      <c r="W31" s="2315"/>
      <c r="X31" s="2315"/>
      <c r="Y31" s="2315"/>
      <c r="Z31" s="2315"/>
      <c r="AA31" s="2315"/>
      <c r="AB31" s="2315"/>
      <c r="AC31" s="390"/>
      <c r="AD31" s="2315" t="str">
        <f>IF(TITLE_NUMBER_PR_CHANGE="",IF(TITLE_NUMBER_PR="","",TITLE_NUMBER_PR),TITLE_NUMBER_PR_CHANGE)</f>
        <v>58</v>
      </c>
      <c r="AE31" s="2315"/>
      <c r="AF31" s="2315"/>
      <c r="AG31" s="2315"/>
      <c r="AH31" s="2315"/>
      <c r="AI31" s="2315"/>
      <c r="AJ31" s="2315"/>
      <c r="AK31" s="390"/>
      <c r="AL31" s="390"/>
      <c r="AM31" s="344"/>
      <c r="AN31" s="432"/>
      <c r="AO31" s="432"/>
      <c r="AP31" s="432"/>
      <c r="AQ31" s="432"/>
      <c r="AR31" s="432"/>
      <c r="AS31" s="482">
        <v>0</v>
      </c>
    </row>
    <row s="601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http://pravo.gov.ru</v>
      </c>
      <c r="W32" s="2315"/>
      <c r="X32" s="2315"/>
      <c r="Y32" s="2315"/>
      <c r="Z32" s="2315"/>
      <c r="AA32" s="2315"/>
      <c r="AB32" s="2315"/>
      <c r="AC32" s="390"/>
      <c r="AD32" s="2315" t="str">
        <f>IF(TITLE_IST_PUB_CHANGE="",IF(TITLE_IST_PUB="","",TITLE_IST_PUB),TITLE_IST_PUB_CHANGE)</f>
        <v>http://pravo.gov.ru</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6011" customFormat="1" customHeight="1" ht="18.75" hidden="1">
      <c r="A34" s="1432"/>
      <c r="B34" s="1432"/>
      <c r="C34" s="1432"/>
      <c r="D34" s="1432"/>
      <c r="E34" s="1432"/>
      <c r="F34" s="1432"/>
      <c r="G34" s="1432"/>
      <c r="H34" s="1432"/>
      <c r="I34" s="1432"/>
      <c r="J34" s="1432"/>
      <c r="K34" s="1432"/>
      <c r="L34" s="1433"/>
      <c r="M34" s="1432"/>
      <c r="N34" s="1432"/>
      <c r="O34" s="1432"/>
      <c r="S34" s="2314" t="s">
        <v>427</v>
      </c>
      <c r="T34" s="2314"/>
      <c r="U34" s="1436"/>
      <c r="V34" s="2328" t="str">
        <f>IF(TITLE_DATE_PR_CHANGE="",IF(TITLE_DATE_PR="","",TITLE_DATE_PR),TITLE_DATE_PR_CHANGE)</f>
        <v>46008.48059027778</v>
      </c>
      <c r="W34" s="2328"/>
      <c r="X34" s="2328"/>
      <c r="Y34" s="2328"/>
      <c r="Z34" s="2328"/>
      <c r="AA34" s="2328"/>
      <c r="AB34" s="2328"/>
      <c r="AC34" s="390"/>
      <c r="AD34" s="2328" t="str">
        <f>IF(TITLE_DATE_PR_CHANGE="",IF(TITLE_DATE_PR="","",TITLE_DATE_PR),TITLE_DATE_PR_CHANGE)</f>
        <v>46008.48059027778</v>
      </c>
      <c r="AE34" s="2328"/>
      <c r="AF34" s="2328"/>
      <c r="AG34" s="2328"/>
      <c r="AH34" s="2328"/>
      <c r="AI34" s="2328"/>
      <c r="AJ34" s="2328"/>
      <c r="AK34" s="390"/>
      <c r="AL34" s="390"/>
      <c r="AM34" s="344"/>
      <c r="AN34" s="432"/>
      <c r="AO34" s="432"/>
      <c r="AP34" s="432"/>
      <c r="AQ34" s="432"/>
      <c r="AR34" s="432"/>
      <c r="AS34" s="482">
        <v>0</v>
      </c>
    </row>
    <row s="6011" customFormat="1" customHeight="1" ht="18.75" hidden="1">
      <c r="A35" s="1432"/>
      <c r="B35" s="1432"/>
      <c r="C35" s="1432"/>
      <c r="D35" s="1432"/>
      <c r="E35" s="1432"/>
      <c r="F35" s="1432"/>
      <c r="G35" s="1432"/>
      <c r="H35" s="1432"/>
      <c r="I35" s="1432"/>
      <c r="J35" s="1432"/>
      <c r="K35" s="1432"/>
      <c r="L35" s="1433"/>
      <c r="M35" s="1432"/>
      <c r="N35" s="1432"/>
      <c r="O35" s="1432"/>
      <c r="S35" s="2314" t="s">
        <v>428</v>
      </c>
      <c r="T35" s="2314"/>
      <c r="U35" s="1436"/>
      <c r="V35" s="2315" t="str">
        <f>IF(TITLE_NUMBER_PR_CHANGE="",IF(TITLE_NUMBER_PR="","",TITLE_NUMBER_PR),TITLE_NUMBER_PR_CHANGE)</f>
        <v>58</v>
      </c>
      <c r="W35" s="2315"/>
      <c r="X35" s="2315"/>
      <c r="Y35" s="2315"/>
      <c r="Z35" s="2315"/>
      <c r="AA35" s="2315"/>
      <c r="AB35" s="2315"/>
      <c r="AC35" s="390"/>
      <c r="AD35" s="2315" t="str">
        <f>IF(TITLE_NUMBER_PR_CHANGE="",IF(TITLE_NUMBER_PR="","",TITLE_NUMBER_PR),TITLE_NUMBER_PR_CHANGE)</f>
        <v>58</v>
      </c>
      <c r="AE35" s="2315"/>
      <c r="AF35" s="2315"/>
      <c r="AG35" s="2315"/>
      <c r="AH35" s="2315"/>
      <c r="AI35" s="2315"/>
      <c r="AJ35" s="2315"/>
      <c r="AK35" s="390"/>
      <c r="AL35" s="390"/>
      <c r="AM35" s="344"/>
      <c r="AN35" s="432"/>
      <c r="AO35" s="432"/>
      <c r="AP35" s="432"/>
      <c r="AQ35" s="432"/>
      <c r="AR35" s="432"/>
      <c r="AS35" s="482">
        <v>0</v>
      </c>
    </row>
    <row s="601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429</v>
      </c>
      <c r="AD36" s="390"/>
      <c r="AE36" s="390"/>
      <c r="AF36" s="390"/>
      <c r="AG36" s="390"/>
      <c r="AH36" s="390"/>
      <c r="AI36" s="390"/>
      <c r="AJ36" s="390"/>
      <c r="AK36" s="342" t="s">
        <v>429</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89</v>
      </c>
      <c r="T39" s="2273" t="s">
        <v>430</v>
      </c>
      <c r="U39" s="365"/>
      <c r="V39" s="2338" t="s">
        <v>431</v>
      </c>
      <c r="W39" s="2339"/>
      <c r="X39" s="2339"/>
      <c r="Y39" s="2339"/>
      <c r="Z39" s="2339"/>
      <c r="AA39" s="2339"/>
      <c r="AB39" s="2340"/>
      <c r="AC39" s="2341" t="s">
        <v>432</v>
      </c>
      <c r="AD39" s="2338" t="s">
        <v>431</v>
      </c>
      <c r="AE39" s="2339"/>
      <c r="AF39" s="2339"/>
      <c r="AG39" s="2339"/>
      <c r="AH39" s="2339"/>
      <c r="AI39" s="2339"/>
      <c r="AJ39" s="2340"/>
      <c r="AK39" s="2341" t="s">
        <v>433</v>
      </c>
      <c r="AL39" s="2344" t="s">
        <v>434</v>
      </c>
      <c r="AM39" s="2191"/>
      <c r="AS39" s="1219">
        <v>14</v>
      </c>
    </row>
    <row customHeight="1" ht="35.699999999999996">
      <c r="Q40" s="440"/>
      <c r="R40" s="440"/>
      <c r="S40" s="2337"/>
      <c r="T40" s="2273"/>
      <c r="U40" s="1095"/>
      <c r="V40" s="2324" t="s">
        <v>435</v>
      </c>
      <c r="W40" s="2674" t="s">
        <v>436</v>
      </c>
      <c r="X40" s="2326" t="s">
        <v>437</v>
      </c>
      <c r="Y40" s="2327"/>
      <c r="Z40" s="2326" t="s">
        <v>438</v>
      </c>
      <c r="AA40" s="2333"/>
      <c r="AB40" s="2327"/>
      <c r="AC40" s="2342"/>
      <c r="AD40" s="2324" t="s">
        <v>435</v>
      </c>
      <c r="AE40" s="2347" t="s">
        <v>436</v>
      </c>
      <c r="AF40" s="2326" t="s">
        <v>437</v>
      </c>
      <c r="AG40" s="2327"/>
      <c r="AH40" s="2326" t="s">
        <v>438</v>
      </c>
      <c r="AI40" s="2333"/>
      <c r="AJ40" s="2327"/>
      <c r="AK40" s="2342"/>
      <c r="AL40" s="2345"/>
      <c r="AM40" s="2191"/>
      <c r="AS40" s="1219">
        <v>34</v>
      </c>
    </row>
    <row customHeight="1" ht="35.699999999999996">
      <c r="A41" s="1434"/>
      <c r="B41" s="1434" t="s">
        <v>136</v>
      </c>
      <c r="C41" s="1434" t="s">
        <v>137</v>
      </c>
      <c r="D41" s="1434" t="s">
        <v>138</v>
      </c>
      <c r="E41" s="1428" t="s">
        <v>439</v>
      </c>
      <c r="F41" s="1428" t="s">
        <v>440</v>
      </c>
      <c r="G41" s="1428" t="s">
        <v>441</v>
      </c>
      <c r="H41" s="1428" t="s">
        <v>442</v>
      </c>
      <c r="I41" s="1428" t="s">
        <v>443</v>
      </c>
      <c r="J41" s="1428" t="s">
        <v>444</v>
      </c>
      <c r="K41" s="1428" t="s">
        <v>445</v>
      </c>
      <c r="L41" s="1428" t="s">
        <v>420</v>
      </c>
      <c r="Q41" s="440"/>
      <c r="R41" s="440"/>
      <c r="S41" s="2337"/>
      <c r="T41" s="2273"/>
      <c r="U41" s="366"/>
      <c r="V41" s="2325"/>
      <c r="W41" s="2348"/>
      <c r="X41" s="1286" t="s">
        <v>446</v>
      </c>
      <c r="Y41" s="1286" t="s">
        <v>447</v>
      </c>
      <c r="Z41" s="1285" t="s">
        <v>448</v>
      </c>
      <c r="AA41" s="2334" t="s">
        <v>449</v>
      </c>
      <c r="AB41" s="2335"/>
      <c r="AC41" s="2343"/>
      <c r="AD41" s="2325"/>
      <c r="AE41" s="2348"/>
      <c r="AF41" s="1286" t="s">
        <v>446</v>
      </c>
      <c r="AG41" s="1286" t="s">
        <v>447</v>
      </c>
      <c r="AH41" s="1377" t="s">
        <v>448</v>
      </c>
      <c r="AI41" s="2334" t="s">
        <v>449</v>
      </c>
      <c r="AJ41" s="2335"/>
      <c r="AK41" s="2343"/>
      <c r="AL41" s="2346"/>
      <c r="AM41" s="2191"/>
      <c r="AS41" s="1219">
        <v>34</v>
      </c>
    </row>
    <row s="371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157</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124</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23</v>
      </c>
    </row>
    <row customHeight="1" ht="24">
      <c r="A44" s="1427" t="s">
        <v>157</v>
      </c>
      <c r="B44" s="1427" t="s">
        <v>158</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23</v>
      </c>
    </row>
    <row customHeight="1" ht="24">
      <c r="A45" s="1427" t="s">
        <v>157</v>
      </c>
      <c r="B45" s="1427" t="s">
        <v>158</v>
      </c>
      <c r="C45" s="1427" t="s">
        <v>159</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4">
      <c r="A46" s="1427" t="s">
        <v>157</v>
      </c>
      <c r="B46" s="1427" t="s">
        <v>158</v>
      </c>
      <c r="C46" s="1427" t="s">
        <v>159</v>
      </c>
      <c r="D46" s="1427" t="s">
        <v>160</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23</v>
      </c>
    </row>
    <row customHeight="1" ht="49.5">
      <c r="A47" s="1427" t="s">
        <v>157</v>
      </c>
      <c r="B47" s="1427" t="s">
        <v>158</v>
      </c>
      <c r="C47" s="1427" t="s">
        <v>159</v>
      </c>
      <c r="D47" s="1427" t="s">
        <v>160</v>
      </c>
      <c r="E47" s="2323"/>
      <c r="F47" s="2323"/>
      <c r="G47" s="2323"/>
      <c r="H47" s="2323"/>
      <c r="I47" s="2320" t="str">
        <f>S46&amp;".1"</f>
        <v>....1</v>
      </c>
      <c r="J47" s="1427"/>
      <c r="K47" s="1427"/>
      <c r="L47" s="1428" t="s">
        <v>407</v>
      </c>
      <c r="P47" s="2321">
        <v>1</v>
      </c>
      <c r="Q47" s="1284"/>
      <c r="R47" s="420"/>
      <c r="S47" s="1288"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157</v>
      </c>
      <c r="B48" s="1427" t="s">
        <v>158</v>
      </c>
      <c r="C48" s="1427" t="s">
        <v>159</v>
      </c>
      <c r="D48" s="1427" t="s">
        <v>160</v>
      </c>
      <c r="E48" s="2323"/>
      <c r="F48" s="2323"/>
      <c r="G48" s="2323"/>
      <c r="H48" s="2323"/>
      <c r="I48" s="2350"/>
      <c r="J48" s="2320" t="str">
        <f>I47&amp;".1"</f>
        <v>....1.1</v>
      </c>
      <c r="K48" s="1427"/>
      <c r="L48" s="1428" t="s">
        <v>410</v>
      </c>
      <c r="P48" s="2321"/>
      <c r="Q48" s="2321">
        <v>1</v>
      </c>
      <c r="R48" s="421"/>
      <c r="S48" s="1288"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23</v>
      </c>
    </row>
    <row customHeight="1" ht="24">
      <c r="A49" s="1427" t="s">
        <v>157</v>
      </c>
      <c r="B49" s="1427" t="s">
        <v>158</v>
      </c>
      <c r="C49" s="1427" t="s">
        <v>159</v>
      </c>
      <c r="D49" s="1427" t="s">
        <v>160</v>
      </c>
      <c r="E49" s="2323"/>
      <c r="F49" s="2323"/>
      <c r="G49" s="2323"/>
      <c r="H49" s="2323"/>
      <c r="I49" s="2350"/>
      <c r="J49" s="2350"/>
      <c r="K49" s="2320" t="str">
        <f>J48&amp;".1"</f>
        <v>....1.1.1</v>
      </c>
      <c r="L49" s="1428" t="s">
        <v>413</v>
      </c>
      <c r="P49" s="2321"/>
      <c r="Q49" s="2321"/>
      <c r="R49" s="421">
        <v>1</v>
      </c>
      <c r="S49" s="1288" t="str">
        <f>$K49</f>
        <v>....1.1.1</v>
      </c>
      <c r="T49" s="1411"/>
      <c r="U49" s="364"/>
      <c r="V49" s="815"/>
      <c r="W49" s="389"/>
      <c r="X49" s="815"/>
      <c r="Y49" s="1321"/>
      <c r="Z49" s="2329"/>
      <c r="AA49" s="2171" t="s">
        <v>62</v>
      </c>
      <c r="AB49" s="2329"/>
      <c r="AC49" s="2171" t="s">
        <v>62</v>
      </c>
      <c r="AD49" s="815"/>
      <c r="AE49" s="389"/>
      <c r="AF49" s="815"/>
      <c r="AG49" s="1321"/>
      <c r="AH49" s="2329"/>
      <c r="AI49" s="2171" t="s">
        <v>62</v>
      </c>
      <c r="AJ49" s="2351"/>
      <c r="AK49" s="2171" t="s">
        <v>62</v>
      </c>
      <c r="AL49" s="1412"/>
      <c r="AM49" s="2317" t="s">
        <v>414</v>
      </c>
      <c r="AN49" s="575">
        <f>STRCHECKDATE(V50:AL50)</f>
      </c>
      <c r="AO49" s="564"/>
      <c r="AP49" s="564" t="str">
        <f>IF(T49="","",T49)</f>
        <v/>
      </c>
      <c r="AQ49" s="564"/>
      <c r="AR49" s="564"/>
      <c r="AS49" s="1219">
        <v>23</v>
      </c>
    </row>
    <row customHeight="1" ht="1.05">
      <c r="A50" s="1427" t="s">
        <v>157</v>
      </c>
      <c r="B50" s="1427" t="s">
        <v>158</v>
      </c>
      <c r="C50" s="1427" t="s">
        <v>159</v>
      </c>
      <c r="D50" s="1427" t="s">
        <v>160</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157</v>
      </c>
      <c r="B51" s="1427" t="s">
        <v>158</v>
      </c>
      <c r="C51" s="1427" t="s">
        <v>159</v>
      </c>
      <c r="D51" s="1427" t="s">
        <v>160</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157</v>
      </c>
      <c r="B52" s="1427" t="s">
        <v>158</v>
      </c>
      <c r="C52" s="1427" t="s">
        <v>159</v>
      </c>
      <c r="D52" s="1427" t="s">
        <v>160</v>
      </c>
      <c r="E52" s="2323"/>
      <c r="F52" s="2323"/>
      <c r="G52" s="2323"/>
      <c r="H52" s="2323"/>
      <c r="I52" s="2320"/>
      <c r="J52" s="1427"/>
      <c r="K52" s="1427"/>
      <c r="L52" s="1428"/>
      <c r="P52" s="2321"/>
      <c r="Q52" s="1284"/>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157</v>
      </c>
      <c r="B53" s="1427" t="s">
        <v>158</v>
      </c>
      <c r="C53" s="1427" t="s">
        <v>159</v>
      </c>
      <c r="D53" s="1427" t="s">
        <v>160</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976" customFormat="1" customHeight="1" ht="1.05">
      <c r="A54" s="1407" t="s">
        <v>157</v>
      </c>
      <c r="B54" s="1407" t="s">
        <v>158</v>
      </c>
      <c r="C54" s="1407" t="s">
        <v>159</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976" customFormat="1" customHeight="1" ht="1.05">
      <c r="A55" s="1407" t="s">
        <v>157</v>
      </c>
      <c r="B55" s="1407" t="s">
        <v>158</v>
      </c>
      <c r="C55" s="1378"/>
      <c r="D55" s="1378"/>
      <c r="E55" s="2323"/>
      <c r="F55" s="2322"/>
      <c r="G55" s="1378"/>
      <c r="H55" s="1378"/>
      <c r="I55" s="1378"/>
      <c r="J55" s="1378"/>
      <c r="K55" s="1378"/>
      <c r="L55" s="1403"/>
      <c r="M55" s="1385"/>
      <c r="N55" s="1385"/>
      <c r="P55" s="1380"/>
      <c r="Q55" s="1381"/>
      <c r="R55" s="1380"/>
      <c r="S55" s="1386"/>
      <c r="T55" s="1389" t="s">
        <v>255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976" customFormat="1" customHeight="1" ht="1.05">
      <c r="A56" s="1407" t="s">
        <v>157</v>
      </c>
      <c r="B56" s="1407"/>
      <c r="C56" s="1407"/>
      <c r="D56" s="1407"/>
      <c r="E56" s="2322"/>
      <c r="F56" s="1407"/>
      <c r="G56" s="1407"/>
      <c r="H56" s="1407"/>
      <c r="I56" s="1407"/>
      <c r="J56" s="1407"/>
      <c r="K56" s="1407"/>
      <c r="L56" s="1410"/>
      <c r="M56" s="1385"/>
      <c r="N56" s="1385"/>
      <c r="O56" s="582"/>
      <c r="P56" s="444"/>
      <c r="Q56" s="1408"/>
      <c r="R56" s="444"/>
      <c r="S56" s="1386"/>
      <c r="T56" s="1389" t="s">
        <v>256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976"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257</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83</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680AB-E847-D19F-CB8A-0.7A0B55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1.00390625" customWidth="1"/>
    <col min="21" max="21" style="5468" width="0.140625" customWidth="1"/>
    <col min="22" max="22" style="5468" width="24.7109375" hidden="1" customWidth="1"/>
    <col min="23" max="23" style="5468" width="0.140625" hidden="1" customWidth="1"/>
    <col min="24" max="25" style="5468" width="24.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24.7109375" customWidth="1"/>
    <col min="31" max="31" style="5468" width="0.140625" customWidth="1"/>
    <col min="32" max="33" style="5468" width="24.00390625" customWidth="1"/>
    <col min="34" max="34" style="5468" width="11.00390625" customWidth="1"/>
    <col min="35" max="35" style="5468" width="3.7109375" customWidth="1"/>
    <col min="36" max="36" style="5468" width="11.00390625" customWidth="1"/>
    <col min="37" max="37" style="5468" width="8.57421875" hidden="1" customWidth="1"/>
    <col min="38" max="38" style="5468" width="4.00390625" customWidth="1"/>
    <col min="39" max="39" style="5468" width="115.00390625" customWidth="1"/>
    <col min="40" max="44" style="4976" width="10.00390625" customWidth="1"/>
    <col min="45" max="45" style="546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124</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95"/>
      <c r="R6" s="420"/>
      <c r="S6" s="1400">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62</v>
      </c>
      <c r="AB8" s="2329"/>
      <c r="AC8" s="2171" t="s">
        <v>62</v>
      </c>
      <c r="AD8" s="815"/>
      <c r="AE8" s="389"/>
      <c r="AF8" s="815"/>
      <c r="AG8" s="1321"/>
      <c r="AH8" s="2329"/>
      <c r="AI8" s="2171" t="s">
        <v>62</v>
      </c>
      <c r="AJ8" s="2329"/>
      <c r="AK8" s="2171" t="s">
        <v>62</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976"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976"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976"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62</v>
      </c>
      <c r="AJ17" s="2331"/>
      <c r="AK17" s="2332" t="s">
        <v>62</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416" customFormat="1" customHeight="1" ht="22.5" hidden="1">
      <c r="L20" s="1393"/>
      <c r="M20" s="1426"/>
      <c r="N20" s="1426"/>
      <c r="O20" s="1431" t="s">
        <v>419</v>
      </c>
      <c r="P20" s="1426"/>
      <c r="Q20" s="1435"/>
      <c r="R20" s="1435"/>
      <c r="S20" s="793"/>
      <c r="Z20" s="1431"/>
      <c r="AB20" s="1431"/>
      <c r="AC20" s="1430"/>
      <c r="AH20" s="1431"/>
      <c r="AJ20" s="1431"/>
      <c r="AK20" s="1430"/>
      <c r="AN20" s="575"/>
      <c r="AO20" s="575"/>
      <c r="AP20" s="575"/>
      <c r="AQ20" s="575"/>
      <c r="AR20" s="575"/>
      <c r="AS20" s="1224">
        <v>0</v>
      </c>
    </row>
    <row s="5416" customFormat="1" customHeight="1" ht="14.25" hidden="1">
      <c r="L21" s="1393"/>
      <c r="M21" s="1426"/>
      <c r="N21" s="1426"/>
      <c r="O21" s="1426"/>
      <c r="P21" s="1426"/>
      <c r="Q21" s="1435"/>
      <c r="R21" s="1435"/>
      <c r="S21" s="793"/>
      <c r="AC21" s="1430"/>
      <c r="AK21" s="1430"/>
      <c r="AN21" s="575"/>
      <c r="AO21" s="575"/>
      <c r="AP21" s="575"/>
      <c r="AQ21" s="575"/>
      <c r="AR21" s="575"/>
      <c r="AS21" s="1224">
        <v>0</v>
      </c>
    </row>
    <row s="5416" customFormat="1" customHeight="1" ht="14.25" hidden="1">
      <c r="L22" s="1393"/>
      <c r="M22" s="1426"/>
      <c r="N22" s="1426"/>
      <c r="O22" s="1428" t="s">
        <v>420</v>
      </c>
      <c r="P22" s="1426"/>
      <c r="Q22" s="1435"/>
      <c r="R22" s="1435"/>
      <c r="S22" s="793"/>
      <c r="T22" s="1224" t="s">
        <v>421</v>
      </c>
      <c r="AA22" s="250" t="s">
        <v>422</v>
      </c>
      <c r="AC22" s="250" t="s">
        <v>423</v>
      </c>
      <c r="AD22" s="1224" t="s">
        <v>421</v>
      </c>
      <c r="AI22" s="250" t="s">
        <v>424</v>
      </c>
      <c r="AK22" s="250" t="s">
        <v>423</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Нарьян-Марское МУ ПОКиТС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601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УГРЦТ НАО</v>
      </c>
      <c r="W29" s="2315"/>
      <c r="X29" s="2315"/>
      <c r="Y29" s="2315"/>
      <c r="Z29" s="2315"/>
      <c r="AA29" s="2315"/>
      <c r="AB29" s="2315"/>
      <c r="AC29" s="390"/>
      <c r="AD29" s="2315" t="str">
        <f>IF(TITLE_NAME_OR_PR_CHANGE="",IF(TITLE_NAME_OR_PR="","",TITLE_NAME_OR_PR),TITLE_NAME_OR_PR_CHANGE)</f>
        <v>УГРЦТ НАО</v>
      </c>
      <c r="AE29" s="2315"/>
      <c r="AF29" s="2315"/>
      <c r="AG29" s="2315"/>
      <c r="AH29" s="2315"/>
      <c r="AI29" s="2315"/>
      <c r="AJ29" s="2315"/>
      <c r="AK29" s="390"/>
      <c r="AL29" s="390"/>
      <c r="AM29" s="344"/>
      <c r="AN29" s="432"/>
      <c r="AO29" s="432"/>
      <c r="AP29" s="432"/>
      <c r="AQ29" s="432"/>
      <c r="AR29" s="432"/>
      <c r="AS29" s="482">
        <v>0</v>
      </c>
    </row>
    <row s="6011" customFormat="1" customHeight="1" ht="18.75">
      <c r="A30" s="1432"/>
      <c r="B30" s="1432"/>
      <c r="C30" s="1432"/>
      <c r="D30" s="1432"/>
      <c r="E30" s="1432"/>
      <c r="F30" s="1432"/>
      <c r="G30" s="1432"/>
      <c r="H30" s="1432"/>
      <c r="I30" s="1432"/>
      <c r="J30" s="1432"/>
      <c r="K30" s="1432"/>
      <c r="L30" s="1433"/>
      <c r="M30" s="1432"/>
      <c r="N30" s="1432"/>
      <c r="O30" s="1432"/>
      <c r="S30" s="2314" t="s">
        <v>425</v>
      </c>
      <c r="T30" s="2314"/>
      <c r="U30" s="1436"/>
      <c r="V30" s="2328" t="str">
        <f>IF(TITLE_DATE_PR_CHANGE="",IF(TITLE_DATE_PR="","",TITLE_DATE_PR),TITLE_DATE_PR_CHANGE)</f>
        <v>46008.48059027778</v>
      </c>
      <c r="W30" s="2328"/>
      <c r="X30" s="2328"/>
      <c r="Y30" s="2328"/>
      <c r="Z30" s="2328"/>
      <c r="AA30" s="2328"/>
      <c r="AB30" s="2328"/>
      <c r="AC30" s="390"/>
      <c r="AD30" s="2328" t="str">
        <f>IF(TITLE_DATE_PR_CHANGE="",IF(TITLE_DATE_PR="","",TITLE_DATE_PR),TITLE_DATE_PR_CHANGE)</f>
        <v>46008.48059027778</v>
      </c>
      <c r="AE30" s="2328"/>
      <c r="AF30" s="2328"/>
      <c r="AG30" s="2328"/>
      <c r="AH30" s="2328"/>
      <c r="AI30" s="2328"/>
      <c r="AJ30" s="2328"/>
      <c r="AK30" s="390"/>
      <c r="AL30" s="390"/>
      <c r="AM30" s="344"/>
      <c r="AN30" s="432"/>
      <c r="AO30" s="432"/>
      <c r="AP30" s="432"/>
      <c r="AQ30" s="432"/>
      <c r="AR30" s="432"/>
      <c r="AS30" s="482">
        <v>0</v>
      </c>
    </row>
    <row s="6011" customFormat="1" customHeight="1" ht="18.75">
      <c r="A31" s="1432"/>
      <c r="B31" s="1432"/>
      <c r="C31" s="1432"/>
      <c r="D31" s="1432"/>
      <c r="E31" s="1432"/>
      <c r="F31" s="1432"/>
      <c r="G31" s="1432"/>
      <c r="H31" s="1432"/>
      <c r="I31" s="1432"/>
      <c r="J31" s="1432"/>
      <c r="K31" s="1432"/>
      <c r="L31" s="1433"/>
      <c r="M31" s="1432"/>
      <c r="N31" s="1432"/>
      <c r="O31" s="1432"/>
      <c r="S31" s="2314" t="s">
        <v>426</v>
      </c>
      <c r="T31" s="2314"/>
      <c r="U31" s="1436"/>
      <c r="V31" s="2315" t="str">
        <f>IF(TITLE_NUMBER_PR_CHANGE="",IF(TITLE_NUMBER_PR="","",TITLE_NUMBER_PR),TITLE_NUMBER_PR_CHANGE)</f>
        <v>58</v>
      </c>
      <c r="W31" s="2315"/>
      <c r="X31" s="2315"/>
      <c r="Y31" s="2315"/>
      <c r="Z31" s="2315"/>
      <c r="AA31" s="2315"/>
      <c r="AB31" s="2315"/>
      <c r="AC31" s="390"/>
      <c r="AD31" s="2315" t="str">
        <f>IF(TITLE_NUMBER_PR_CHANGE="",IF(TITLE_NUMBER_PR="","",TITLE_NUMBER_PR),TITLE_NUMBER_PR_CHANGE)</f>
        <v>58</v>
      </c>
      <c r="AE31" s="2315"/>
      <c r="AF31" s="2315"/>
      <c r="AG31" s="2315"/>
      <c r="AH31" s="2315"/>
      <c r="AI31" s="2315"/>
      <c r="AJ31" s="2315"/>
      <c r="AK31" s="390"/>
      <c r="AL31" s="390"/>
      <c r="AM31" s="344"/>
      <c r="AN31" s="432"/>
      <c r="AO31" s="432"/>
      <c r="AP31" s="432"/>
      <c r="AQ31" s="432"/>
      <c r="AR31" s="432"/>
      <c r="AS31" s="482">
        <v>0</v>
      </c>
    </row>
    <row s="601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http://pravo.gov.ru</v>
      </c>
      <c r="W32" s="2315"/>
      <c r="X32" s="2315"/>
      <c r="Y32" s="2315"/>
      <c r="Z32" s="2315"/>
      <c r="AA32" s="2315"/>
      <c r="AB32" s="2315"/>
      <c r="AC32" s="390"/>
      <c r="AD32" s="2315" t="str">
        <f>IF(TITLE_IST_PUB_CHANGE="",IF(TITLE_IST_PUB="","",TITLE_IST_PUB),TITLE_IST_PUB_CHANGE)</f>
        <v>http://pravo.gov.ru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6011" customFormat="1" customHeight="1" ht="18.75" hidden="1">
      <c r="A34" s="1432"/>
      <c r="B34" s="1432"/>
      <c r="C34" s="1432"/>
      <c r="D34" s="1432"/>
      <c r="E34" s="1432"/>
      <c r="F34" s="1432"/>
      <c r="G34" s="1432"/>
      <c r="H34" s="1432"/>
      <c r="I34" s="1432"/>
      <c r="J34" s="1432"/>
      <c r="K34" s="1432"/>
      <c r="L34" s="1433"/>
      <c r="M34" s="1432"/>
      <c r="N34" s="1432"/>
      <c r="O34" s="1432"/>
      <c r="S34" s="2314" t="s">
        <v>427</v>
      </c>
      <c r="T34" s="2314"/>
      <c r="U34" s="1436"/>
      <c r="V34" s="2328" t="str">
        <f>IF(TITLE_DATE_PR_CHANGE="",IF(TITLE_DATE_PR="","",TITLE_DATE_PR),TITLE_DATE_PR_CHANGE)</f>
        <v>46008.48059027778</v>
      </c>
      <c r="W34" s="2328"/>
      <c r="X34" s="2328"/>
      <c r="Y34" s="2328"/>
      <c r="Z34" s="2328"/>
      <c r="AA34" s="2328"/>
      <c r="AB34" s="2328"/>
      <c r="AC34" s="390"/>
      <c r="AD34" s="2328" t="str">
        <f>IF(TITLE_DATE_PR_CHANGE="",IF(TITLE_DATE_PR="","",TITLE_DATE_PR),TITLE_DATE_PR_CHANGE)</f>
        <v>46008.48059027778</v>
      </c>
      <c r="AE34" s="2328"/>
      <c r="AF34" s="2328"/>
      <c r="AG34" s="2328"/>
      <c r="AH34" s="2328"/>
      <c r="AI34" s="2328"/>
      <c r="AJ34" s="2328"/>
      <c r="AK34" s="390"/>
      <c r="AL34" s="390"/>
      <c r="AM34" s="344"/>
      <c r="AN34" s="432"/>
      <c r="AO34" s="432"/>
      <c r="AP34" s="432"/>
      <c r="AQ34" s="432"/>
      <c r="AR34" s="432"/>
      <c r="AS34" s="482">
        <v>0</v>
      </c>
    </row>
    <row s="6011" customFormat="1" customHeight="1" ht="18.75" hidden="1">
      <c r="A35" s="1432"/>
      <c r="B35" s="1432"/>
      <c r="C35" s="1432"/>
      <c r="D35" s="1432"/>
      <c r="E35" s="1432"/>
      <c r="F35" s="1432"/>
      <c r="G35" s="1432"/>
      <c r="H35" s="1432"/>
      <c r="I35" s="1432"/>
      <c r="J35" s="1432"/>
      <c r="K35" s="1432"/>
      <c r="L35" s="1433"/>
      <c r="M35" s="1432"/>
      <c r="N35" s="1432"/>
      <c r="O35" s="1432"/>
      <c r="S35" s="2314" t="s">
        <v>428</v>
      </c>
      <c r="T35" s="2314"/>
      <c r="U35" s="1436"/>
      <c r="V35" s="2315" t="str">
        <f>IF(TITLE_NUMBER_PR_CHANGE="",IF(TITLE_NUMBER_PR="","",TITLE_NUMBER_PR),TITLE_NUMBER_PR_CHANGE)</f>
        <v>58</v>
      </c>
      <c r="W35" s="2315"/>
      <c r="X35" s="2315"/>
      <c r="Y35" s="2315"/>
      <c r="Z35" s="2315"/>
      <c r="AA35" s="2315"/>
      <c r="AB35" s="2315"/>
      <c r="AC35" s="390"/>
      <c r="AD35" s="2315" t="str">
        <f>IF(TITLE_NUMBER_PR_CHANGE="",IF(TITLE_NUMBER_PR="","",TITLE_NUMBER_PR),TITLE_NUMBER_PR_CHANGE)</f>
        <v>58</v>
      </c>
      <c r="AE35" s="2315"/>
      <c r="AF35" s="2315"/>
      <c r="AG35" s="2315"/>
      <c r="AH35" s="2315"/>
      <c r="AI35" s="2315"/>
      <c r="AJ35" s="2315"/>
      <c r="AK35" s="390"/>
      <c r="AL35" s="390"/>
      <c r="AM35" s="344"/>
      <c r="AN35" s="432"/>
      <c r="AO35" s="432"/>
      <c r="AP35" s="432"/>
      <c r="AQ35" s="432"/>
      <c r="AR35" s="432"/>
      <c r="AS35" s="482">
        <v>0</v>
      </c>
    </row>
    <row s="601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429</v>
      </c>
      <c r="AD36" s="390"/>
      <c r="AE36" s="390"/>
      <c r="AF36" s="390"/>
      <c r="AG36" s="390"/>
      <c r="AH36" s="390"/>
      <c r="AI36" s="390"/>
      <c r="AJ36" s="390"/>
      <c r="AK36" s="342" t="s">
        <v>429</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89</v>
      </c>
      <c r="T39" s="2273" t="s">
        <v>430</v>
      </c>
      <c r="U39" s="365"/>
      <c r="V39" s="2338" t="s">
        <v>431</v>
      </c>
      <c r="W39" s="2339"/>
      <c r="X39" s="2339"/>
      <c r="Y39" s="2339"/>
      <c r="Z39" s="2339"/>
      <c r="AA39" s="2339"/>
      <c r="AB39" s="2340"/>
      <c r="AC39" s="2341" t="s">
        <v>432</v>
      </c>
      <c r="AD39" s="2338" t="s">
        <v>431</v>
      </c>
      <c r="AE39" s="2339"/>
      <c r="AF39" s="2339"/>
      <c r="AG39" s="2339"/>
      <c r="AH39" s="2339"/>
      <c r="AI39" s="2339"/>
      <c r="AJ39" s="2340"/>
      <c r="AK39" s="2341" t="s">
        <v>433</v>
      </c>
      <c r="AL39" s="2344" t="s">
        <v>434</v>
      </c>
      <c r="AM39" s="2191"/>
      <c r="AS39" s="1219">
        <v>14</v>
      </c>
    </row>
    <row customHeight="1" ht="35.699999999999996">
      <c r="Q40" s="440"/>
      <c r="R40" s="440"/>
      <c r="S40" s="2337"/>
      <c r="T40" s="2273"/>
      <c r="U40" s="1095"/>
      <c r="V40" s="2324" t="s">
        <v>435</v>
      </c>
      <c r="W40" s="2347" t="s">
        <v>436</v>
      </c>
      <c r="X40" s="2326" t="s">
        <v>437</v>
      </c>
      <c r="Y40" s="2327"/>
      <c r="Z40" s="2326" t="s">
        <v>450</v>
      </c>
      <c r="AA40" s="2333"/>
      <c r="AB40" s="2327"/>
      <c r="AC40" s="2342"/>
      <c r="AD40" s="2324" t="s">
        <v>435</v>
      </c>
      <c r="AE40" s="2347" t="s">
        <v>436</v>
      </c>
      <c r="AF40" s="2326" t="s">
        <v>437</v>
      </c>
      <c r="AG40" s="2327"/>
      <c r="AH40" s="2326" t="s">
        <v>438</v>
      </c>
      <c r="AI40" s="2333"/>
      <c r="AJ40" s="2327"/>
      <c r="AK40" s="2342"/>
      <c r="AL40" s="2345"/>
      <c r="AM40" s="2191"/>
      <c r="AS40" s="1219">
        <v>34</v>
      </c>
    </row>
    <row customHeight="1" ht="35.699999999999996">
      <c r="A41" s="1434"/>
      <c r="B41" s="1434" t="s">
        <v>136</v>
      </c>
      <c r="C41" s="1434" t="s">
        <v>137</v>
      </c>
      <c r="D41" s="1434" t="s">
        <v>138</v>
      </c>
      <c r="E41" s="1428" t="s">
        <v>439</v>
      </c>
      <c r="F41" s="1428" t="s">
        <v>440</v>
      </c>
      <c r="G41" s="1428" t="s">
        <v>441</v>
      </c>
      <c r="H41" s="1428" t="s">
        <v>442</v>
      </c>
      <c r="I41" s="1428" t="s">
        <v>443</v>
      </c>
      <c r="J41" s="1428" t="s">
        <v>444</v>
      </c>
      <c r="K41" s="1428" t="s">
        <v>445</v>
      </c>
      <c r="L41" s="1428" t="s">
        <v>420</v>
      </c>
      <c r="Q41" s="440"/>
      <c r="R41" s="440"/>
      <c r="S41" s="2337"/>
      <c r="T41" s="2273"/>
      <c r="U41" s="366"/>
      <c r="V41" s="2325"/>
      <c r="W41" s="2348"/>
      <c r="X41" s="1286" t="s">
        <v>446</v>
      </c>
      <c r="Y41" s="1286" t="s">
        <v>447</v>
      </c>
      <c r="Z41" s="1402" t="s">
        <v>448</v>
      </c>
      <c r="AA41" s="2334" t="s">
        <v>449</v>
      </c>
      <c r="AB41" s="2335"/>
      <c r="AC41" s="2343"/>
      <c r="AD41" s="2325"/>
      <c r="AE41" s="2348"/>
      <c r="AF41" s="1286" t="s">
        <v>446</v>
      </c>
      <c r="AG41" s="1286" t="s">
        <v>447</v>
      </c>
      <c r="AH41" s="1402" t="s">
        <v>448</v>
      </c>
      <c r="AI41" s="2334" t="s">
        <v>449</v>
      </c>
      <c r="AJ41" s="2335"/>
      <c r="AK41" s="2343"/>
      <c r="AL41" s="2346"/>
      <c r="AM41" s="2191"/>
      <c r="AS41" s="1219">
        <v>34</v>
      </c>
    </row>
    <row s="371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124</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162</v>
      </c>
      <c r="B44" s="1427" t="s">
        <v>163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162</v>
      </c>
      <c r="B45" s="1427" t="s">
        <v>163</v>
      </c>
      <c r="C45" s="1427" t="s">
        <v>164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162</v>
      </c>
      <c r="B46" s="1427" t="s">
        <v>163</v>
      </c>
      <c r="C46" s="1427" t="s">
        <v>164</v>
      </c>
      <c r="D46" s="1427" t="s">
        <v>165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customHeight="1" ht="49.5">
      <c r="A47" s="1427" t="s">
        <v>162</v>
      </c>
      <c r="B47" s="1427" t="s">
        <v>163</v>
      </c>
      <c r="C47" s="1427" t="s">
        <v>164</v>
      </c>
      <c r="D47" s="1427" t="s">
        <v>165</v>
      </c>
      <c r="E47" s="2323"/>
      <c r="F47" s="2323"/>
      <c r="G47" s="2323"/>
      <c r="H47" s="2323"/>
      <c r="I47" s="2320" t="str">
        <f>S46&amp;".1"</f>
        <v>....1</v>
      </c>
      <c r="J47" s="1427"/>
      <c r="K47" s="1427"/>
      <c r="L47" s="1428" t="s">
        <v>407</v>
      </c>
      <c r="P47" s="2321">
        <v>1</v>
      </c>
      <c r="Q47" s="1395"/>
      <c r="R47" s="420"/>
      <c r="S47" s="1400"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162</v>
      </c>
      <c r="B48" s="1427" t="s">
        <v>163</v>
      </c>
      <c r="C48" s="1427" t="s">
        <v>164</v>
      </c>
      <c r="D48" s="1427" t="s">
        <v>165</v>
      </c>
      <c r="E48" s="2323"/>
      <c r="F48" s="2323"/>
      <c r="G48" s="2323"/>
      <c r="H48" s="2323"/>
      <c r="I48" s="2350"/>
      <c r="J48" s="2320" t="str">
        <f>I47&amp;".1"</f>
        <v>....1.1</v>
      </c>
      <c r="K48" s="1427"/>
      <c r="L48" s="1428" t="s">
        <v>410</v>
      </c>
      <c r="P48" s="2321"/>
      <c r="Q48" s="2321">
        <v>1</v>
      </c>
      <c r="R48" s="421"/>
      <c r="S48" s="1400"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162</v>
      </c>
      <c r="B49" s="1427" t="s">
        <v>163</v>
      </c>
      <c r="C49" s="1427" t="s">
        <v>164</v>
      </c>
      <c r="D49" s="1427" t="s">
        <v>165</v>
      </c>
      <c r="E49" s="2323"/>
      <c r="F49" s="2323"/>
      <c r="G49" s="2323"/>
      <c r="H49" s="2323"/>
      <c r="I49" s="2350"/>
      <c r="J49" s="2350"/>
      <c r="K49" s="2320" t="str">
        <f>J48&amp;".1"</f>
        <v>....1.1.1</v>
      </c>
      <c r="L49" s="1428" t="s">
        <v>413</v>
      </c>
      <c r="P49" s="2321"/>
      <c r="Q49" s="2321"/>
      <c r="R49" s="421">
        <v>1</v>
      </c>
      <c r="S49" s="1400" t="str">
        <f>$K49</f>
        <v>....1.1.1</v>
      </c>
      <c r="T49" s="1411"/>
      <c r="U49" s="364"/>
      <c r="V49" s="815"/>
      <c r="W49" s="389"/>
      <c r="X49" s="815"/>
      <c r="Y49" s="1321"/>
      <c r="Z49" s="2329"/>
      <c r="AA49" s="2171" t="s">
        <v>62</v>
      </c>
      <c r="AB49" s="2329"/>
      <c r="AC49" s="2171" t="s">
        <v>62</v>
      </c>
      <c r="AD49" s="815"/>
      <c r="AE49" s="389"/>
      <c r="AF49" s="815"/>
      <c r="AG49" s="1321"/>
      <c r="AH49" s="2329"/>
      <c r="AI49" s="2171" t="s">
        <v>62</v>
      </c>
      <c r="AJ49" s="2351"/>
      <c r="AK49" s="2171" t="s">
        <v>62</v>
      </c>
      <c r="AL49" s="1412"/>
      <c r="AM49" s="2317" t="s">
        <v>414</v>
      </c>
      <c r="AN49" s="575">
        <f>STRCHECKDATE(V50:AL50)</f>
      </c>
      <c r="AO49" s="564"/>
      <c r="AP49" s="564" t="str">
        <f>IF(T49="","",T49)</f>
        <v/>
      </c>
      <c r="AQ49" s="564"/>
      <c r="AR49" s="564"/>
      <c r="AS49" s="1219">
        <v>21</v>
      </c>
    </row>
    <row customHeight="1" ht="1.05">
      <c r="A50" s="1427" t="s">
        <v>162</v>
      </c>
      <c r="B50" s="1427" t="s">
        <v>163</v>
      </c>
      <c r="C50" s="1427" t="s">
        <v>164</v>
      </c>
      <c r="D50" s="1427" t="s">
        <v>165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162</v>
      </c>
      <c r="B51" s="1427" t="s">
        <v>163</v>
      </c>
      <c r="C51" s="1427" t="s">
        <v>164</v>
      </c>
      <c r="D51" s="1427" t="s">
        <v>165</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162</v>
      </c>
      <c r="B52" s="1427" t="s">
        <v>163</v>
      </c>
      <c r="C52" s="1427" t="s">
        <v>164</v>
      </c>
      <c r="D52" s="1427" t="s">
        <v>165</v>
      </c>
      <c r="E52" s="2323"/>
      <c r="F52" s="2323"/>
      <c r="G52" s="2323"/>
      <c r="H52" s="2323"/>
      <c r="I52" s="2320"/>
      <c r="J52" s="1427"/>
      <c r="K52" s="1427"/>
      <c r="L52" s="1428"/>
      <c r="P52" s="2321"/>
      <c r="Q52" s="1395"/>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162</v>
      </c>
      <c r="B53" s="1427" t="s">
        <v>163</v>
      </c>
      <c r="C53" s="1427" t="s">
        <v>164</v>
      </c>
      <c r="D53" s="1427" t="s">
        <v>165</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976" customFormat="1" customHeight="1" ht="1.05">
      <c r="A54" s="1407" t="s">
        <v>162</v>
      </c>
      <c r="B54" s="1407" t="s">
        <v>163</v>
      </c>
      <c r="C54" s="1407" t="s">
        <v>164</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976" customFormat="1" customHeight="1" ht="1.05">
      <c r="A55" s="1407" t="s">
        <v>162</v>
      </c>
      <c r="B55" s="1407" t="s">
        <v>163</v>
      </c>
      <c r="C55" s="1378"/>
      <c r="D55" s="1378"/>
      <c r="E55" s="2323"/>
      <c r="F55" s="2322"/>
      <c r="G55" s="1378"/>
      <c r="H55" s="1378"/>
      <c r="I55" s="1378"/>
      <c r="J55" s="1378"/>
      <c r="K55" s="1378"/>
      <c r="L55" s="1403"/>
      <c r="M55" s="1385"/>
      <c r="N55" s="1385"/>
      <c r="P55" s="1380"/>
      <c r="Q55" s="1381"/>
      <c r="R55" s="1380"/>
      <c r="S55" s="1386"/>
      <c r="T55" s="1389" t="s">
        <v>255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976" customFormat="1" customHeight="1" ht="1.05">
      <c r="A56" s="1407" t="s">
        <v>162</v>
      </c>
      <c r="B56" s="1407"/>
      <c r="C56" s="1407"/>
      <c r="D56" s="1407"/>
      <c r="E56" s="2322"/>
      <c r="F56" s="1407"/>
      <c r="G56" s="1407"/>
      <c r="H56" s="1407"/>
      <c r="I56" s="1407"/>
      <c r="J56" s="1407"/>
      <c r="K56" s="1407"/>
      <c r="L56" s="1410"/>
      <c r="M56" s="1385"/>
      <c r="N56" s="1385"/>
      <c r="O56" s="582"/>
      <c r="P56" s="444"/>
      <c r="Q56" s="1408"/>
      <c r="R56" s="444"/>
      <c r="S56" s="1386"/>
      <c r="T56" s="1389" t="s">
        <v>256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976"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257</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83</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FFC42-B40C-8C7B-28F7-0.A37194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68" width="10.57421875" hidden="1"/>
    <col min="2" max="2" style="5468" width="11.00390625" hidden="1" customWidth="1"/>
    <col min="3" max="3" style="5468" width="10.57421875" hidden="1"/>
    <col min="4" max="4" style="5468" width="11.8515625" hidden="1" customWidth="1"/>
    <col min="5" max="5" style="5468" width="10.00390625" hidden="1" customWidth="1"/>
    <col min="6" max="6" style="5468" width="8.7109375" hidden="1" customWidth="1"/>
    <col min="7" max="7" style="5468" width="7.57421875" hidden="1" customWidth="1"/>
    <col min="8" max="8" style="5468" width="11.421875" hidden="1" customWidth="1"/>
    <col min="9" max="9" style="5468" width="12.00390625" hidden="1" customWidth="1"/>
    <col min="10" max="10" style="5468" width="9.8515625" hidden="1" customWidth="1"/>
    <col min="11" max="11" style="5468" width="11.421875" hidden="1" customWidth="1"/>
    <col min="12" max="12" style="6132" width="19.140625" hidden="1" customWidth="1"/>
    <col min="13" max="14" style="6151" width="12.28125" hidden="1" customWidth="1"/>
    <col min="15" max="15" style="6151" width="23.421875" hidden="1" customWidth="1"/>
    <col min="16" max="16" style="6151" width="3.00390625" customWidth="1"/>
    <col min="17" max="18" style="5437" width="3.00390625" customWidth="1"/>
    <col min="19" max="19" style="6125" width="12.00390625" customWidth="1"/>
    <col min="20" max="20" style="5468" width="31.00390625" customWidth="1"/>
    <col min="21" max="21" style="5468" width="0.140625" customWidth="1"/>
    <col min="22" max="22" style="5468" width="24.7109375" hidden="1" customWidth="1"/>
    <col min="23" max="23" style="5468" width="0.140625" hidden="1" customWidth="1"/>
    <col min="24" max="25" style="5468" width="24.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24.7109375" customWidth="1"/>
    <col min="31" max="31" style="5468" width="0.140625" customWidth="1"/>
    <col min="32" max="33" style="5468" width="24.00390625" customWidth="1"/>
    <col min="34" max="34" style="5468" width="11.00390625" customWidth="1"/>
    <col min="35" max="35" style="5468" width="3.7109375" customWidth="1"/>
    <col min="36" max="36" style="5468" width="11.00390625" customWidth="1"/>
    <col min="37" max="37" style="5468" width="8.57421875" hidden="1" customWidth="1"/>
    <col min="38" max="38" style="5468" width="4.00390625" customWidth="1"/>
    <col min="39" max="39" style="5468" width="115.00390625" customWidth="1"/>
    <col min="40" max="44" style="4976" width="10.00390625" customWidth="1"/>
    <col min="45" max="45" style="546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124</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407</v>
      </c>
      <c r="M6" s="1699"/>
      <c r="P6" s="2321">
        <v>1</v>
      </c>
      <c r="Q6" s="2018"/>
      <c r="R6" s="420"/>
      <c r="S6" s="2022">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410</v>
      </c>
      <c r="M7" s="1699"/>
      <c r="N7" s="1695"/>
      <c r="P7" s="2321"/>
      <c r="Q7" s="2321">
        <v>1</v>
      </c>
      <c r="R7" s="421"/>
      <c r="S7" s="2022">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413</v>
      </c>
      <c r="M8" s="1699"/>
      <c r="N8" s="1695"/>
      <c r="O8" s="1695"/>
      <c r="P8" s="2321"/>
      <c r="Q8" s="2321"/>
      <c r="R8" s="421">
        <v>1</v>
      </c>
      <c r="S8" s="2022">
        <f>$K8</f>
      </c>
      <c r="T8" s="1411"/>
      <c r="U8" s="364"/>
      <c r="V8" s="815"/>
      <c r="W8" s="389"/>
      <c r="X8" s="815"/>
      <c r="Y8" s="1321"/>
      <c r="Z8" s="2329"/>
      <c r="AA8" s="2171" t="s">
        <v>62</v>
      </c>
      <c r="AB8" s="2329"/>
      <c r="AC8" s="2171" t="s">
        <v>62</v>
      </c>
      <c r="AD8" s="815"/>
      <c r="AE8" s="389"/>
      <c r="AF8" s="815"/>
      <c r="AG8" s="1321"/>
      <c r="AH8" s="2329"/>
      <c r="AI8" s="2171" t="s">
        <v>62</v>
      </c>
      <c r="AJ8" s="2329"/>
      <c r="AK8" s="2171" t="s">
        <v>62</v>
      </c>
      <c r="AL8" s="389"/>
      <c r="AM8" s="2317" t="s">
        <v>414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976"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976"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255</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976"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256</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62</v>
      </c>
      <c r="AJ17" s="2331"/>
      <c r="AK17" s="2332" t="s">
        <v>62</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5416" customFormat="1" customHeight="1" ht="14.25" hidden="1">
      <c r="A20" s="1695"/>
      <c r="B20" s="1695"/>
      <c r="C20" s="1695"/>
      <c r="D20" s="1695"/>
      <c r="E20" s="1695"/>
      <c r="F20" s="1695"/>
      <c r="G20" s="1695"/>
      <c r="H20" s="1695"/>
      <c r="I20" s="1695"/>
      <c r="J20" s="1695"/>
      <c r="K20" s="1695"/>
      <c r="L20" s="2003"/>
      <c r="M20" s="2029"/>
      <c r="N20" s="2029"/>
      <c r="O20" s="1409" t="s">
        <v>419</v>
      </c>
      <c r="P20" s="1426"/>
      <c r="Q20" s="1435"/>
      <c r="R20" s="1435"/>
      <c r="S20" s="793"/>
      <c r="Z20" s="1431"/>
      <c r="AB20" s="1431"/>
      <c r="AH20" s="1431"/>
      <c r="AJ20" s="1431"/>
      <c r="AN20" s="1700"/>
      <c r="AO20" s="1700"/>
      <c r="AP20" s="1700"/>
      <c r="AQ20" s="1700"/>
      <c r="AR20" s="1700"/>
      <c r="AS20" s="1430">
        <v>0</v>
      </c>
    </row>
    <row s="5416"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5416" customFormat="1" customHeight="1" ht="14.25" hidden="1">
      <c r="A22" s="1695"/>
      <c r="B22" s="1695"/>
      <c r="C22" s="1695"/>
      <c r="D22" s="1695"/>
      <c r="E22" s="1695"/>
      <c r="F22" s="1695"/>
      <c r="G22" s="1695"/>
      <c r="H22" s="1695"/>
      <c r="I22" s="1695"/>
      <c r="J22" s="1695"/>
      <c r="K22" s="1695"/>
      <c r="L22" s="2003"/>
      <c r="M22" s="2029"/>
      <c r="N22" s="2029"/>
      <c r="O22" s="1374" t="s">
        <v>420</v>
      </c>
      <c r="P22" s="1426"/>
      <c r="Q22" s="1435"/>
      <c r="R22" s="1435"/>
      <c r="S22" s="793"/>
      <c r="T22" s="1430" t="s">
        <v>421</v>
      </c>
      <c r="AA22" s="659" t="s">
        <v>422</v>
      </c>
      <c r="AC22" s="659" t="s">
        <v>423</v>
      </c>
      <c r="AD22" s="1430" t="s">
        <v>421</v>
      </c>
      <c r="AI22" s="659" t="s">
        <v>424</v>
      </c>
      <c r="AK22" s="659" t="s">
        <v>423</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Нарьян-Марское МУ ПОКиТС</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601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УГРЦТ НАО</v>
      </c>
      <c r="W29" s="2315"/>
      <c r="X29" s="2315"/>
      <c r="Y29" s="2315"/>
      <c r="Z29" s="2315"/>
      <c r="AA29" s="2315"/>
      <c r="AB29" s="2315"/>
      <c r="AC29" s="1699"/>
      <c r="AD29" s="2315" t="str">
        <f>IF(TITLE_NAME_OR_PR_CHANGE="",IF(TITLE_NAME_OR_PR="","",TITLE_NAME_OR_PR),TITLE_NAME_OR_PR_CHANGE)</f>
        <v>УГРЦТ НАО</v>
      </c>
      <c r="AE29" s="2315"/>
      <c r="AF29" s="2315"/>
      <c r="AG29" s="2315"/>
      <c r="AH29" s="2315"/>
      <c r="AI29" s="2315"/>
      <c r="AJ29" s="2315"/>
      <c r="AK29" s="1699"/>
      <c r="AL29" s="1699"/>
      <c r="AM29" s="344"/>
      <c r="AN29" s="432"/>
      <c r="AO29" s="432"/>
      <c r="AP29" s="432"/>
      <c r="AQ29" s="432"/>
      <c r="AR29" s="432"/>
      <c r="AS29" s="482">
        <v>0</v>
      </c>
    </row>
    <row s="6011" customFormat="1" customHeight="1" ht="18.75" hidden="1">
      <c r="A30" s="1312"/>
      <c r="B30" s="1312"/>
      <c r="C30" s="1312"/>
      <c r="D30" s="1312"/>
      <c r="E30" s="1312"/>
      <c r="F30" s="1312"/>
      <c r="G30" s="1312"/>
      <c r="H30" s="1312"/>
      <c r="I30" s="1312"/>
      <c r="J30" s="1312"/>
      <c r="K30" s="1312"/>
      <c r="L30" s="1444"/>
      <c r="M30" s="1312"/>
      <c r="N30" s="1312"/>
      <c r="O30" s="1312"/>
      <c r="S30" s="2314" t="s">
        <v>425</v>
      </c>
      <c r="T30" s="2314"/>
      <c r="U30" s="1436"/>
      <c r="V30" s="2328" t="str">
        <f>IF(TITLE_DATE_PR_CHANGE="",IF(TITLE_DATE_PR="","",TITLE_DATE_PR),TITLE_DATE_PR_CHANGE)</f>
        <v>46008.48059027778</v>
      </c>
      <c r="W30" s="2328"/>
      <c r="X30" s="2328"/>
      <c r="Y30" s="2328"/>
      <c r="Z30" s="2328"/>
      <c r="AA30" s="2328"/>
      <c r="AB30" s="2328"/>
      <c r="AC30" s="1699"/>
      <c r="AD30" s="2328" t="str">
        <f>IF(TITLE_DATE_PR_CHANGE="",IF(TITLE_DATE_PR="","",TITLE_DATE_PR),TITLE_DATE_PR_CHANGE)</f>
        <v>46008.48059027778</v>
      </c>
      <c r="AE30" s="2328"/>
      <c r="AF30" s="2328"/>
      <c r="AG30" s="2328"/>
      <c r="AH30" s="2328"/>
      <c r="AI30" s="2328"/>
      <c r="AJ30" s="2328"/>
      <c r="AK30" s="1699"/>
      <c r="AL30" s="1699"/>
      <c r="AM30" s="344"/>
      <c r="AN30" s="432"/>
      <c r="AO30" s="432"/>
      <c r="AP30" s="432"/>
      <c r="AQ30" s="432"/>
      <c r="AR30" s="432"/>
      <c r="AS30" s="482">
        <v>0</v>
      </c>
    </row>
    <row s="6011" customFormat="1" customHeight="1" ht="18.75" hidden="1">
      <c r="A31" s="1312"/>
      <c r="B31" s="1312"/>
      <c r="C31" s="1312"/>
      <c r="D31" s="1312"/>
      <c r="E31" s="1312"/>
      <c r="F31" s="1312"/>
      <c r="G31" s="1312"/>
      <c r="H31" s="1312"/>
      <c r="I31" s="1312"/>
      <c r="J31" s="1312"/>
      <c r="K31" s="1312"/>
      <c r="L31" s="1444"/>
      <c r="M31" s="1312"/>
      <c r="N31" s="1312"/>
      <c r="O31" s="1312"/>
      <c r="S31" s="2314" t="s">
        <v>426</v>
      </c>
      <c r="T31" s="2314"/>
      <c r="U31" s="1436"/>
      <c r="V31" s="2315" t="str">
        <f>IF(TITLE_NUMBER_PR_CHANGE="",IF(TITLE_NUMBER_PR="","",TITLE_NUMBER_PR),TITLE_NUMBER_PR_CHANGE)</f>
        <v>58</v>
      </c>
      <c r="W31" s="2315"/>
      <c r="X31" s="2315"/>
      <c r="Y31" s="2315"/>
      <c r="Z31" s="2315"/>
      <c r="AA31" s="2315"/>
      <c r="AB31" s="2315"/>
      <c r="AC31" s="1699"/>
      <c r="AD31" s="2315" t="str">
        <f>IF(TITLE_NUMBER_PR_CHANGE="",IF(TITLE_NUMBER_PR="","",TITLE_NUMBER_PR),TITLE_NUMBER_PR_CHANGE)</f>
        <v>58</v>
      </c>
      <c r="AE31" s="2315"/>
      <c r="AF31" s="2315"/>
      <c r="AG31" s="2315"/>
      <c r="AH31" s="2315"/>
      <c r="AI31" s="2315"/>
      <c r="AJ31" s="2315"/>
      <c r="AK31" s="1699"/>
      <c r="AL31" s="1699"/>
      <c r="AM31" s="344"/>
      <c r="AN31" s="432"/>
      <c r="AO31" s="432"/>
      <c r="AP31" s="432"/>
      <c r="AQ31" s="432"/>
      <c r="AR31" s="432"/>
      <c r="AS31" s="482">
        <v>0</v>
      </c>
    </row>
    <row s="601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http://pravo.gov.ru</v>
      </c>
      <c r="W32" s="2315"/>
      <c r="X32" s="2315"/>
      <c r="Y32" s="2315"/>
      <c r="Z32" s="2315"/>
      <c r="AA32" s="2315"/>
      <c r="AB32" s="2315"/>
      <c r="AC32" s="1699"/>
      <c r="AD32" s="2315" t="str">
        <f>IF(TITLE_IST_PUB_CHANGE="",IF(TITLE_IST_PUB="","",TITLE_IST_PUB),TITLE_IST_PUB_CHANGE)</f>
        <v>http://pravo.gov.ru</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6011" customFormat="1" customHeight="1" ht="18.75" hidden="1">
      <c r="A34" s="1312"/>
      <c r="B34" s="1312"/>
      <c r="C34" s="1312"/>
      <c r="D34" s="1312"/>
      <c r="E34" s="1312"/>
      <c r="F34" s="1312"/>
      <c r="G34" s="1312"/>
      <c r="H34" s="1312"/>
      <c r="I34" s="1312"/>
      <c r="J34" s="1312"/>
      <c r="K34" s="1312"/>
      <c r="L34" s="1444"/>
      <c r="M34" s="1312"/>
      <c r="N34" s="1312"/>
      <c r="O34" s="1312"/>
      <c r="S34" s="2314" t="s">
        <v>427</v>
      </c>
      <c r="T34" s="2314"/>
      <c r="U34" s="1436"/>
      <c r="V34" s="2328" t="str">
        <f>IF(TITLE_DATE_PR_CHANGE="",IF(TITLE_DATE_PR="","",TITLE_DATE_PR),TITLE_DATE_PR_CHANGE)</f>
        <v>46008.48059027778</v>
      </c>
      <c r="W34" s="2328"/>
      <c r="X34" s="2328"/>
      <c r="Y34" s="2328"/>
      <c r="Z34" s="2328"/>
      <c r="AA34" s="2328"/>
      <c r="AB34" s="2328"/>
      <c r="AC34" s="1699"/>
      <c r="AD34" s="2328" t="str">
        <f>IF(TITLE_DATE_PR_CHANGE="",IF(TITLE_DATE_PR="","",TITLE_DATE_PR),TITLE_DATE_PR_CHANGE)</f>
        <v>46008.48059027778</v>
      </c>
      <c r="AE34" s="2328"/>
      <c r="AF34" s="2328"/>
      <c r="AG34" s="2328"/>
      <c r="AH34" s="2328"/>
      <c r="AI34" s="2328"/>
      <c r="AJ34" s="2328"/>
      <c r="AK34" s="1699"/>
      <c r="AL34" s="1699"/>
      <c r="AM34" s="344"/>
      <c r="AN34" s="432"/>
      <c r="AO34" s="432"/>
      <c r="AP34" s="432"/>
      <c r="AQ34" s="432"/>
      <c r="AR34" s="432"/>
      <c r="AS34" s="482">
        <v>0</v>
      </c>
    </row>
    <row s="6011" customFormat="1" customHeight="1" ht="18.75" hidden="1">
      <c r="A35" s="1312"/>
      <c r="B35" s="1312"/>
      <c r="C35" s="1312"/>
      <c r="D35" s="1312"/>
      <c r="E35" s="1312"/>
      <c r="F35" s="1312"/>
      <c r="G35" s="1312"/>
      <c r="H35" s="1312"/>
      <c r="I35" s="1312"/>
      <c r="J35" s="1312"/>
      <c r="K35" s="1312"/>
      <c r="L35" s="1444"/>
      <c r="M35" s="1312"/>
      <c r="N35" s="1312"/>
      <c r="O35" s="1312"/>
      <c r="S35" s="2314" t="s">
        <v>428</v>
      </c>
      <c r="T35" s="2314"/>
      <c r="U35" s="1436"/>
      <c r="V35" s="2315" t="str">
        <f>IF(TITLE_NUMBER_PR_CHANGE="",IF(TITLE_NUMBER_PR="","",TITLE_NUMBER_PR),TITLE_NUMBER_PR_CHANGE)</f>
        <v>58</v>
      </c>
      <c r="W35" s="2315"/>
      <c r="X35" s="2315"/>
      <c r="Y35" s="2315"/>
      <c r="Z35" s="2315"/>
      <c r="AA35" s="2315"/>
      <c r="AB35" s="2315"/>
      <c r="AC35" s="1699"/>
      <c r="AD35" s="2315" t="str">
        <f>IF(TITLE_NUMBER_PR_CHANGE="",IF(TITLE_NUMBER_PR="","",TITLE_NUMBER_PR),TITLE_NUMBER_PR_CHANGE)</f>
        <v>58</v>
      </c>
      <c r="AE35" s="2315"/>
      <c r="AF35" s="2315"/>
      <c r="AG35" s="2315"/>
      <c r="AH35" s="2315"/>
      <c r="AI35" s="2315"/>
      <c r="AJ35" s="2315"/>
      <c r="AK35" s="1699"/>
      <c r="AL35" s="1699"/>
      <c r="AM35" s="344"/>
      <c r="AN35" s="432"/>
      <c r="AO35" s="432"/>
      <c r="AP35" s="432"/>
      <c r="AQ35" s="432"/>
      <c r="AR35" s="432"/>
      <c r="AS35" s="482">
        <v>0</v>
      </c>
    </row>
    <row s="601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429</v>
      </c>
      <c r="AD36" s="1699"/>
      <c r="AE36" s="1699"/>
      <c r="AF36" s="1699"/>
      <c r="AG36" s="1699"/>
      <c r="AH36" s="1699"/>
      <c r="AI36" s="1699"/>
      <c r="AJ36" s="1699"/>
      <c r="AK36" s="1706" t="s">
        <v>429</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695">
        <v>14</v>
      </c>
    </row>
    <row customHeight="1" ht="14.699999999999998">
      <c r="Q39" s="440"/>
      <c r="R39" s="440"/>
      <c r="S39" s="2337" t="s">
        <v>89</v>
      </c>
      <c r="T39" s="2273" t="s">
        <v>430</v>
      </c>
      <c r="U39" s="401"/>
      <c r="V39" s="2338" t="s">
        <v>431</v>
      </c>
      <c r="W39" s="2339"/>
      <c r="X39" s="2339"/>
      <c r="Y39" s="2339"/>
      <c r="Z39" s="2339"/>
      <c r="AA39" s="2339"/>
      <c r="AB39" s="2340"/>
      <c r="AC39" s="2341" t="s">
        <v>432</v>
      </c>
      <c r="AD39" s="2338" t="s">
        <v>431</v>
      </c>
      <c r="AE39" s="2339"/>
      <c r="AF39" s="2339"/>
      <c r="AG39" s="2339"/>
      <c r="AH39" s="2339"/>
      <c r="AI39" s="2339"/>
      <c r="AJ39" s="2340"/>
      <c r="AK39" s="2341" t="s">
        <v>433</v>
      </c>
      <c r="AL39" s="2344" t="s">
        <v>434</v>
      </c>
      <c r="AM39" s="2191"/>
      <c r="AS39" s="1695">
        <v>14</v>
      </c>
    </row>
    <row customHeight="1" ht="35.699999999999996">
      <c r="Q40" s="440"/>
      <c r="R40" s="440"/>
      <c r="S40" s="2337"/>
      <c r="T40" s="2273"/>
      <c r="U40" s="1095"/>
      <c r="V40" s="2324" t="s">
        <v>435</v>
      </c>
      <c r="W40" s="2347" t="s">
        <v>436</v>
      </c>
      <c r="X40" s="2326" t="s">
        <v>437</v>
      </c>
      <c r="Y40" s="2327"/>
      <c r="Z40" s="2326" t="s">
        <v>450</v>
      </c>
      <c r="AA40" s="2333"/>
      <c r="AB40" s="2327"/>
      <c r="AC40" s="2342"/>
      <c r="AD40" s="2324" t="s">
        <v>435</v>
      </c>
      <c r="AE40" s="2347" t="s">
        <v>436</v>
      </c>
      <c r="AF40" s="2326" t="s">
        <v>437</v>
      </c>
      <c r="AG40" s="2327"/>
      <c r="AH40" s="2326" t="s">
        <v>438</v>
      </c>
      <c r="AI40" s="2333"/>
      <c r="AJ40" s="2327"/>
      <c r="AK40" s="2342"/>
      <c r="AL40" s="2345"/>
      <c r="AM40" s="2191"/>
      <c r="AS40" s="1695">
        <v>34</v>
      </c>
    </row>
    <row customHeight="1" ht="35.699999999999996">
      <c r="A41" s="1330"/>
      <c r="B41" s="1330" t="s">
        <v>136</v>
      </c>
      <c r="C41" s="1330" t="s">
        <v>137</v>
      </c>
      <c r="D41" s="1330" t="s">
        <v>138</v>
      </c>
      <c r="E41" s="1374" t="s">
        <v>439</v>
      </c>
      <c r="F41" s="1374" t="s">
        <v>440</v>
      </c>
      <c r="G41" s="1374" t="s">
        <v>441</v>
      </c>
      <c r="H41" s="1374" t="s">
        <v>442</v>
      </c>
      <c r="I41" s="1374" t="s">
        <v>443</v>
      </c>
      <c r="J41" s="1374" t="s">
        <v>444</v>
      </c>
      <c r="K41" s="1374" t="s">
        <v>445</v>
      </c>
      <c r="L41" s="1374" t="s">
        <v>420</v>
      </c>
      <c r="Q41" s="440"/>
      <c r="R41" s="440"/>
      <c r="S41" s="2337"/>
      <c r="T41" s="2273"/>
      <c r="U41" s="366"/>
      <c r="V41" s="2325"/>
      <c r="W41" s="2348"/>
      <c r="X41" s="2002" t="s">
        <v>446</v>
      </c>
      <c r="Y41" s="2002" t="s">
        <v>447</v>
      </c>
      <c r="Z41" s="2002" t="s">
        <v>448</v>
      </c>
      <c r="AA41" s="2334" t="s">
        <v>449</v>
      </c>
      <c r="AB41" s="2335"/>
      <c r="AC41" s="2343"/>
      <c r="AD41" s="2325"/>
      <c r="AE41" s="2348"/>
      <c r="AF41" s="2002" t="s">
        <v>446</v>
      </c>
      <c r="AG41" s="2002" t="s">
        <v>447</v>
      </c>
      <c r="AH41" s="2002" t="s">
        <v>448</v>
      </c>
      <c r="AI41" s="2334" t="s">
        <v>449</v>
      </c>
      <c r="AJ41" s="2335"/>
      <c r="AK41" s="2343"/>
      <c r="AL41" s="2346"/>
      <c r="AM41" s="2191"/>
      <c r="AS41" s="1695">
        <v>34</v>
      </c>
    </row>
    <row s="3710"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110</v>
      </c>
      <c r="T42" s="1319" t="s">
        <v>111</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211</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124</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211</v>
      </c>
      <c r="B44" s="1331" t="s">
        <v>212</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1688"/>
      <c r="AP44" s="1688" t="str">
        <f>IF(T44="","",T44)</f>
        <v>Территория действия тарифа</v>
      </c>
      <c r="AQ44" s="1688"/>
      <c r="AR44" s="1688"/>
      <c r="AS44" s="1695">
        <v>21</v>
      </c>
    </row>
    <row customHeight="1" ht="24">
      <c r="A45" s="1331" t="s">
        <v>211</v>
      </c>
      <c r="B45" s="1331" t="s">
        <v>212</v>
      </c>
      <c r="C45" s="1331" t="s">
        <v>213</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1688"/>
      <c r="AP45" s="1688" t="str">
        <f>IF(T45="","",T45)</f>
        <v>Наименование системы теплоснабжения </v>
      </c>
      <c r="AQ45" s="1688"/>
      <c r="AR45" s="1688"/>
      <c r="AS45" s="1695">
        <v>23</v>
      </c>
    </row>
    <row customHeight="1" ht="22.049999999999997">
      <c r="A46" s="1331" t="s">
        <v>211</v>
      </c>
      <c r="B46" s="1331" t="s">
        <v>212</v>
      </c>
      <c r="C46" s="1331" t="s">
        <v>213</v>
      </c>
      <c r="D46" s="1331" t="s">
        <v>214</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1688"/>
      <c r="AP46" s="1688" t="str">
        <f>IF(T46="","",T46)</f>
        <v>Источник тепловой энергии  </v>
      </c>
      <c r="AQ46" s="1688"/>
      <c r="AR46" s="1688"/>
      <c r="AS46" s="1695">
        <v>21</v>
      </c>
    </row>
    <row customHeight="1" ht="49.5">
      <c r="A47" s="1331" t="s">
        <v>211</v>
      </c>
      <c r="B47" s="1331" t="s">
        <v>212</v>
      </c>
      <c r="C47" s="1331" t="s">
        <v>213</v>
      </c>
      <c r="D47" s="1331" t="s">
        <v>214</v>
      </c>
      <c r="E47" s="2354"/>
      <c r="F47" s="2354"/>
      <c r="G47" s="2354"/>
      <c r="H47" s="2354"/>
      <c r="I47" s="2191" t="str">
        <f>S46&amp;".1"</f>
        <v>....1</v>
      </c>
      <c r="J47" s="1331"/>
      <c r="K47" s="1331"/>
      <c r="L47" s="1374" t="s">
        <v>407</v>
      </c>
      <c r="P47" s="2321">
        <v>1</v>
      </c>
      <c r="Q47" s="2018"/>
      <c r="R47" s="420"/>
      <c r="S47" s="2022"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211</v>
      </c>
      <c r="B48" s="1331" t="s">
        <v>212</v>
      </c>
      <c r="C48" s="1331" t="s">
        <v>213</v>
      </c>
      <c r="D48" s="1331" t="s">
        <v>214</v>
      </c>
      <c r="E48" s="2354"/>
      <c r="F48" s="2354"/>
      <c r="G48" s="2354"/>
      <c r="H48" s="2354"/>
      <c r="I48" s="2165"/>
      <c r="J48" s="2191" t="str">
        <f>I47&amp;".1"</f>
        <v>....1.1</v>
      </c>
      <c r="K48" s="1331"/>
      <c r="L48" s="1374" t="s">
        <v>410</v>
      </c>
      <c r="P48" s="2321"/>
      <c r="Q48" s="2321">
        <v>1</v>
      </c>
      <c r="R48" s="421"/>
      <c r="S48" s="2022"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1688"/>
      <c r="AP48" s="1688" t="str">
        <f>IF(T48="","",T48)</f>
        <v>Группа потребителей</v>
      </c>
      <c r="AQ48" s="1688"/>
      <c r="AR48" s="1688"/>
      <c r="AS48" s="1695">
        <v>21</v>
      </c>
    </row>
    <row customHeight="1" ht="22.049999999999997">
      <c r="A49" s="1331" t="s">
        <v>211</v>
      </c>
      <c r="B49" s="1331" t="s">
        <v>212</v>
      </c>
      <c r="C49" s="1331" t="s">
        <v>213</v>
      </c>
      <c r="D49" s="1331" t="s">
        <v>214</v>
      </c>
      <c r="E49" s="2354"/>
      <c r="F49" s="2354"/>
      <c r="G49" s="2354"/>
      <c r="H49" s="2354"/>
      <c r="I49" s="2165"/>
      <c r="J49" s="2165"/>
      <c r="K49" s="2191" t="str">
        <f>J48&amp;".1"</f>
        <v>....1.1.1</v>
      </c>
      <c r="L49" s="1374" t="s">
        <v>413</v>
      </c>
      <c r="P49" s="2321"/>
      <c r="Q49" s="2321"/>
      <c r="R49" s="421">
        <v>1</v>
      </c>
      <c r="S49" s="2022" t="str">
        <f>$K49</f>
        <v>....1.1.1</v>
      </c>
      <c r="T49" s="1411"/>
      <c r="U49" s="364"/>
      <c r="V49" s="815"/>
      <c r="W49" s="389"/>
      <c r="X49" s="815"/>
      <c r="Y49" s="1321"/>
      <c r="Z49" s="2329"/>
      <c r="AA49" s="2171" t="s">
        <v>62</v>
      </c>
      <c r="AB49" s="2329"/>
      <c r="AC49" s="2171" t="s">
        <v>62</v>
      </c>
      <c r="AD49" s="815"/>
      <c r="AE49" s="389"/>
      <c r="AF49" s="815"/>
      <c r="AG49" s="1321"/>
      <c r="AH49" s="2329"/>
      <c r="AI49" s="2171" t="s">
        <v>62</v>
      </c>
      <c r="AJ49" s="2351"/>
      <c r="AK49" s="2171" t="s">
        <v>62</v>
      </c>
      <c r="AL49" s="1412"/>
      <c r="AM49" s="2317" t="s">
        <v>414</v>
      </c>
      <c r="AN49" s="1700">
        <f>STRCHECKDATE(V50:AL50)</f>
      </c>
      <c r="AO49" s="1688"/>
      <c r="AP49" s="1688" t="str">
        <f>IF(T49="","",T49)</f>
        <v/>
      </c>
      <c r="AQ49" s="1688"/>
      <c r="AR49" s="1688"/>
      <c r="AS49" s="1695">
        <v>21</v>
      </c>
    </row>
    <row customHeight="1" ht="1.05">
      <c r="A50" s="1331" t="s">
        <v>211</v>
      </c>
      <c r="B50" s="1331" t="s">
        <v>212</v>
      </c>
      <c r="C50" s="1331" t="s">
        <v>213</v>
      </c>
      <c r="D50" s="1331" t="s">
        <v>214</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211</v>
      </c>
      <c r="B51" s="1331" t="s">
        <v>212</v>
      </c>
      <c r="C51" s="1331" t="s">
        <v>213</v>
      </c>
      <c r="D51" s="1331" t="s">
        <v>214</v>
      </c>
      <c r="E51" s="2354"/>
      <c r="F51" s="2354"/>
      <c r="G51" s="2354"/>
      <c r="H51" s="2354"/>
      <c r="I51" s="2165"/>
      <c r="J51" s="2191"/>
      <c r="K51" s="1331"/>
      <c r="L51" s="1374"/>
      <c r="P51" s="2321"/>
      <c r="Q51" s="2321"/>
      <c r="R51" s="420"/>
      <c r="S51" s="1342"/>
      <c r="T51" s="352" t="s">
        <v>415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211</v>
      </c>
      <c r="B52" s="1331" t="s">
        <v>212</v>
      </c>
      <c r="C52" s="1331" t="s">
        <v>213</v>
      </c>
      <c r="D52" s="1331" t="s">
        <v>214</v>
      </c>
      <c r="E52" s="2354"/>
      <c r="F52" s="2354"/>
      <c r="G52" s="2354"/>
      <c r="H52" s="2354"/>
      <c r="I52" s="2191"/>
      <c r="J52" s="1331"/>
      <c r="K52" s="1331"/>
      <c r="L52" s="1374"/>
      <c r="P52" s="2321"/>
      <c r="Q52" s="2018"/>
      <c r="R52" s="420"/>
      <c r="S52" s="1342"/>
      <c r="T52" s="351" t="s">
        <v>416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211</v>
      </c>
      <c r="B53" s="1331" t="s">
        <v>212</v>
      </c>
      <c r="C53" s="1331" t="s">
        <v>213</v>
      </c>
      <c r="D53" s="1331" t="s">
        <v>214</v>
      </c>
      <c r="E53" s="2354"/>
      <c r="F53" s="2354"/>
      <c r="G53" s="2354"/>
      <c r="H53" s="2353"/>
      <c r="I53" s="1331"/>
      <c r="J53" s="1331"/>
      <c r="K53" s="1331"/>
      <c r="L53" s="1374"/>
      <c r="M53" s="1674"/>
      <c r="N53" s="1674"/>
      <c r="O53" s="1699"/>
      <c r="P53" s="424"/>
      <c r="Q53" s="439"/>
      <c r="R53" s="419"/>
      <c r="S53" s="1342"/>
      <c r="T53" s="429" t="s">
        <v>417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976" customFormat="1" customHeight="1" ht="4.2">
      <c r="A54" s="1439" t="s">
        <v>211</v>
      </c>
      <c r="B54" s="1439" t="s">
        <v>212</v>
      </c>
      <c r="C54" s="1439" t="s">
        <v>213</v>
      </c>
      <c r="D54" s="1438"/>
      <c r="E54" s="2354"/>
      <c r="F54" s="2354"/>
      <c r="G54" s="2353"/>
      <c r="H54" s="1438"/>
      <c r="I54" s="1438"/>
      <c r="J54" s="1438"/>
      <c r="K54" s="1438"/>
      <c r="L54" s="1441"/>
      <c r="M54" s="1442"/>
      <c r="N54" s="1442"/>
      <c r="O54" s="415"/>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976" customFormat="1" customHeight="1" ht="4.2">
      <c r="A55" s="1439" t="s">
        <v>211</v>
      </c>
      <c r="B55" s="1439" t="s">
        <v>212</v>
      </c>
      <c r="C55" s="1438"/>
      <c r="D55" s="1438"/>
      <c r="E55" s="2354"/>
      <c r="F55" s="2353"/>
      <c r="G55" s="1438"/>
      <c r="H55" s="1438"/>
      <c r="I55" s="1438"/>
      <c r="J55" s="1438"/>
      <c r="K55" s="1438"/>
      <c r="L55" s="1441"/>
      <c r="M55" s="1443"/>
      <c r="N55" s="1443"/>
      <c r="O55" s="415"/>
      <c r="P55" s="1380"/>
      <c r="Q55" s="1381"/>
      <c r="R55" s="1380"/>
      <c r="S55" s="1386"/>
      <c r="T55" s="1389" t="s">
        <v>255</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976" customFormat="1" customHeight="1" ht="4.2">
      <c r="A56" s="1439" t="s">
        <v>211</v>
      </c>
      <c r="B56" s="1439"/>
      <c r="C56" s="1439"/>
      <c r="D56" s="1439"/>
      <c r="E56" s="2353"/>
      <c r="F56" s="1439"/>
      <c r="G56" s="1439"/>
      <c r="H56" s="1439"/>
      <c r="I56" s="1439"/>
      <c r="J56" s="1439"/>
      <c r="K56" s="1439"/>
      <c r="L56" s="1445"/>
      <c r="M56" s="1443"/>
      <c r="N56" s="1443"/>
      <c r="O56" s="415"/>
      <c r="P56" s="444"/>
      <c r="Q56" s="1408"/>
      <c r="R56" s="444"/>
      <c r="S56" s="1386"/>
      <c r="T56" s="1389" t="s">
        <v>256</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976"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257</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83</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726C-C9E6-C7AB-F406-0.D8A155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68" width="10.57421875" hidden="1"/>
    <col min="2" max="2" style="5468" width="11.00390625" hidden="1" customWidth="1"/>
    <col min="3" max="3" style="5468" width="10.57421875" hidden="1"/>
    <col min="4" max="4" style="5468" width="11.8515625" hidden="1" customWidth="1"/>
    <col min="5" max="5" style="5468" width="10.00390625" hidden="1" customWidth="1"/>
    <col min="6" max="6" style="5468" width="8.7109375" hidden="1" customWidth="1"/>
    <col min="7" max="7" style="5468" width="7.57421875" hidden="1" customWidth="1"/>
    <col min="8" max="8" style="5468" width="11.421875" hidden="1" customWidth="1"/>
    <col min="9" max="9" style="5468" width="12.00390625" hidden="1" customWidth="1"/>
    <col min="10" max="10" style="5468" width="9.8515625" hidden="1" customWidth="1"/>
    <col min="11" max="11" style="5468" width="11.421875" hidden="1" customWidth="1"/>
    <col min="12" max="12" style="6132" width="19.140625" hidden="1" customWidth="1"/>
    <col min="13" max="14" style="6151" width="12.28125" hidden="1" customWidth="1"/>
    <col min="15" max="15" style="6151" width="23.421875" hidden="1" customWidth="1"/>
    <col min="16" max="16" style="6151" width="3.00390625" customWidth="1"/>
    <col min="17" max="18" style="5437" width="3.00390625" customWidth="1"/>
    <col min="19" max="19" style="6125" width="12.00390625" customWidth="1"/>
    <col min="20" max="20" style="5468" width="31.00390625" customWidth="1"/>
    <col min="21" max="21" style="5468" width="0.140625" customWidth="1"/>
    <col min="22" max="22" style="5468" width="24.7109375" hidden="1" customWidth="1"/>
    <col min="23" max="23" style="5468" width="0.140625" hidden="1" customWidth="1"/>
    <col min="24" max="25" style="5468" width="24.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24.7109375" customWidth="1"/>
    <col min="31" max="31" style="5468" width="0.140625" customWidth="1"/>
    <col min="32" max="33" style="5468" width="24.00390625" customWidth="1"/>
    <col min="34" max="34" style="5468" width="11.00390625" customWidth="1"/>
    <col min="35" max="35" style="5468" width="3.7109375" customWidth="1"/>
    <col min="36" max="36" style="5468" width="11.00390625" customWidth="1"/>
    <col min="37" max="37" style="5468" width="8.57421875" hidden="1" customWidth="1"/>
    <col min="38" max="38" style="5468" width="4.00390625" customWidth="1"/>
    <col min="39" max="39" style="5468" width="115.00390625" customWidth="1"/>
    <col min="40" max="44" style="4976" width="10.00390625" customWidth="1"/>
    <col min="45" max="45" style="546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124</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407</v>
      </c>
      <c r="M6" s="1699"/>
      <c r="P6" s="2321">
        <v>1</v>
      </c>
      <c r="Q6" s="2018"/>
      <c r="R6" s="420"/>
      <c r="S6" s="2022">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410</v>
      </c>
      <c r="M7" s="1699"/>
      <c r="N7" s="1695"/>
      <c r="P7" s="2321"/>
      <c r="Q7" s="2321">
        <v>1</v>
      </c>
      <c r="R7" s="421"/>
      <c r="S7" s="2022">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413</v>
      </c>
      <c r="M8" s="1699"/>
      <c r="N8" s="1695"/>
      <c r="O8" s="1695"/>
      <c r="P8" s="2321"/>
      <c r="Q8" s="2321"/>
      <c r="R8" s="421">
        <v>1</v>
      </c>
      <c r="S8" s="2022">
        <f>$K8</f>
      </c>
      <c r="T8" s="1411"/>
      <c r="U8" s="364"/>
      <c r="V8" s="815"/>
      <c r="W8" s="389"/>
      <c r="X8" s="815"/>
      <c r="Y8" s="1321"/>
      <c r="Z8" s="2329"/>
      <c r="AA8" s="2171" t="s">
        <v>62</v>
      </c>
      <c r="AB8" s="2329"/>
      <c r="AC8" s="2171" t="s">
        <v>62</v>
      </c>
      <c r="AD8" s="815"/>
      <c r="AE8" s="389"/>
      <c r="AF8" s="815"/>
      <c r="AG8" s="1321"/>
      <c r="AH8" s="2329"/>
      <c r="AI8" s="2171" t="s">
        <v>62</v>
      </c>
      <c r="AJ8" s="2329"/>
      <c r="AK8" s="2171" t="s">
        <v>62</v>
      </c>
      <c r="AL8" s="389"/>
      <c r="AM8" s="2317" t="s">
        <v>414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976"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976"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255</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976"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256</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62</v>
      </c>
      <c r="AJ17" s="2331"/>
      <c r="AK17" s="2332" t="s">
        <v>62</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5416" customFormat="1" customHeight="1" ht="14.25" hidden="1">
      <c r="A20" s="1695"/>
      <c r="B20" s="1695"/>
      <c r="C20" s="1695"/>
      <c r="D20" s="1695"/>
      <c r="E20" s="1695"/>
      <c r="F20" s="1695"/>
      <c r="G20" s="1695"/>
      <c r="H20" s="1695"/>
      <c r="I20" s="1695"/>
      <c r="J20" s="1695"/>
      <c r="K20" s="1695"/>
      <c r="L20" s="2003"/>
      <c r="M20" s="2029"/>
      <c r="N20" s="2029"/>
      <c r="O20" s="1409" t="s">
        <v>419</v>
      </c>
      <c r="P20" s="1426"/>
      <c r="Q20" s="1435"/>
      <c r="R20" s="1435"/>
      <c r="S20" s="793"/>
      <c r="Z20" s="1431"/>
      <c r="AB20" s="1431"/>
      <c r="AH20" s="1431"/>
      <c r="AJ20" s="1431"/>
      <c r="AN20" s="1700"/>
      <c r="AO20" s="1700"/>
      <c r="AP20" s="1700"/>
      <c r="AQ20" s="1700"/>
      <c r="AR20" s="1700"/>
      <c r="AS20" s="1430">
        <v>0</v>
      </c>
    </row>
    <row s="5416"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5416" customFormat="1" customHeight="1" ht="14.25" hidden="1">
      <c r="A22" s="1695"/>
      <c r="B22" s="1695"/>
      <c r="C22" s="1695"/>
      <c r="D22" s="1695"/>
      <c r="E22" s="1695"/>
      <c r="F22" s="1695"/>
      <c r="G22" s="1695"/>
      <c r="H22" s="1695"/>
      <c r="I22" s="1695"/>
      <c r="J22" s="1695"/>
      <c r="K22" s="1695"/>
      <c r="L22" s="2003"/>
      <c r="M22" s="2029"/>
      <c r="N22" s="2029"/>
      <c r="O22" s="1374" t="s">
        <v>420</v>
      </c>
      <c r="P22" s="1426"/>
      <c r="Q22" s="1435"/>
      <c r="R22" s="1435"/>
      <c r="S22" s="793"/>
      <c r="T22" s="1430" t="s">
        <v>421</v>
      </c>
      <c r="AA22" s="659" t="s">
        <v>422</v>
      </c>
      <c r="AC22" s="659" t="s">
        <v>423</v>
      </c>
      <c r="AD22" s="1430" t="s">
        <v>421</v>
      </c>
      <c r="AI22" s="659" t="s">
        <v>424</v>
      </c>
      <c r="AK22" s="659" t="s">
        <v>423</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Нарьян-Марское МУ ПОКиТС</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601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УГРЦТ НАО</v>
      </c>
      <c r="W29" s="2315"/>
      <c r="X29" s="2315"/>
      <c r="Y29" s="2315"/>
      <c r="Z29" s="2315"/>
      <c r="AA29" s="2315"/>
      <c r="AB29" s="2315"/>
      <c r="AC29" s="1699"/>
      <c r="AD29" s="2315" t="str">
        <f>IF(TITLE_NAME_OR_PR_CHANGE="",IF(TITLE_NAME_OR_PR="","",TITLE_NAME_OR_PR),TITLE_NAME_OR_PR_CHANGE)</f>
        <v>УГРЦТ НАО</v>
      </c>
      <c r="AE29" s="2315"/>
      <c r="AF29" s="2315"/>
      <c r="AG29" s="2315"/>
      <c r="AH29" s="2315"/>
      <c r="AI29" s="2315"/>
      <c r="AJ29" s="2315"/>
      <c r="AK29" s="1699"/>
      <c r="AL29" s="1699"/>
      <c r="AM29" s="344"/>
      <c r="AN29" s="432"/>
      <c r="AO29" s="432"/>
      <c r="AP29" s="432"/>
      <c r="AQ29" s="432"/>
      <c r="AR29" s="432"/>
      <c r="AS29" s="482">
        <v>0</v>
      </c>
    </row>
    <row s="6011" customFormat="1" customHeight="1" ht="18.75" hidden="1">
      <c r="A30" s="1312"/>
      <c r="B30" s="1312"/>
      <c r="C30" s="1312"/>
      <c r="D30" s="1312"/>
      <c r="E30" s="1312"/>
      <c r="F30" s="1312"/>
      <c r="G30" s="1312"/>
      <c r="H30" s="1312"/>
      <c r="I30" s="1312"/>
      <c r="J30" s="1312"/>
      <c r="K30" s="1312"/>
      <c r="L30" s="1444"/>
      <c r="M30" s="1312"/>
      <c r="N30" s="1312"/>
      <c r="O30" s="1312"/>
      <c r="S30" s="2314" t="s">
        <v>425</v>
      </c>
      <c r="T30" s="2314"/>
      <c r="U30" s="1436"/>
      <c r="V30" s="2328" t="str">
        <f>IF(TITLE_DATE_PR_CHANGE="",IF(TITLE_DATE_PR="","",TITLE_DATE_PR),TITLE_DATE_PR_CHANGE)</f>
        <v>46008.48059027778</v>
      </c>
      <c r="W30" s="2328"/>
      <c r="X30" s="2328"/>
      <c r="Y30" s="2328"/>
      <c r="Z30" s="2328"/>
      <c r="AA30" s="2328"/>
      <c r="AB30" s="2328"/>
      <c r="AC30" s="1699"/>
      <c r="AD30" s="2328" t="str">
        <f>IF(TITLE_DATE_PR_CHANGE="",IF(TITLE_DATE_PR="","",TITLE_DATE_PR),TITLE_DATE_PR_CHANGE)</f>
        <v>46008.48059027778</v>
      </c>
      <c r="AE30" s="2328"/>
      <c r="AF30" s="2328"/>
      <c r="AG30" s="2328"/>
      <c r="AH30" s="2328"/>
      <c r="AI30" s="2328"/>
      <c r="AJ30" s="2328"/>
      <c r="AK30" s="1699"/>
      <c r="AL30" s="1699"/>
      <c r="AM30" s="344"/>
      <c r="AN30" s="432"/>
      <c r="AO30" s="432"/>
      <c r="AP30" s="432"/>
      <c r="AQ30" s="432"/>
      <c r="AR30" s="432"/>
      <c r="AS30" s="482">
        <v>0</v>
      </c>
    </row>
    <row s="6011" customFormat="1" customHeight="1" ht="18.75" hidden="1">
      <c r="A31" s="1312"/>
      <c r="B31" s="1312"/>
      <c r="C31" s="1312"/>
      <c r="D31" s="1312"/>
      <c r="E31" s="1312"/>
      <c r="F31" s="1312"/>
      <c r="G31" s="1312"/>
      <c r="H31" s="1312"/>
      <c r="I31" s="1312"/>
      <c r="J31" s="1312"/>
      <c r="K31" s="1312"/>
      <c r="L31" s="1444"/>
      <c r="M31" s="1312"/>
      <c r="N31" s="1312"/>
      <c r="O31" s="1312"/>
      <c r="S31" s="2314" t="s">
        <v>426</v>
      </c>
      <c r="T31" s="2314"/>
      <c r="U31" s="1436"/>
      <c r="V31" s="2315" t="str">
        <f>IF(TITLE_NUMBER_PR_CHANGE="",IF(TITLE_NUMBER_PR="","",TITLE_NUMBER_PR),TITLE_NUMBER_PR_CHANGE)</f>
        <v>58</v>
      </c>
      <c r="W31" s="2315"/>
      <c r="X31" s="2315"/>
      <c r="Y31" s="2315"/>
      <c r="Z31" s="2315"/>
      <c r="AA31" s="2315"/>
      <c r="AB31" s="2315"/>
      <c r="AC31" s="1699"/>
      <c r="AD31" s="2315" t="str">
        <f>IF(TITLE_NUMBER_PR_CHANGE="",IF(TITLE_NUMBER_PR="","",TITLE_NUMBER_PR),TITLE_NUMBER_PR_CHANGE)</f>
        <v>58</v>
      </c>
      <c r="AE31" s="2315"/>
      <c r="AF31" s="2315"/>
      <c r="AG31" s="2315"/>
      <c r="AH31" s="2315"/>
      <c r="AI31" s="2315"/>
      <c r="AJ31" s="2315"/>
      <c r="AK31" s="1699"/>
      <c r="AL31" s="1699"/>
      <c r="AM31" s="344"/>
      <c r="AN31" s="432"/>
      <c r="AO31" s="432"/>
      <c r="AP31" s="432"/>
      <c r="AQ31" s="432"/>
      <c r="AR31" s="432"/>
      <c r="AS31" s="482">
        <v>0</v>
      </c>
    </row>
    <row s="601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http://pravo.gov.ru</v>
      </c>
      <c r="W32" s="2315"/>
      <c r="X32" s="2315"/>
      <c r="Y32" s="2315"/>
      <c r="Z32" s="2315"/>
      <c r="AA32" s="2315"/>
      <c r="AB32" s="2315"/>
      <c r="AC32" s="1699"/>
      <c r="AD32" s="2315" t="str">
        <f>IF(TITLE_IST_PUB_CHANGE="",IF(TITLE_IST_PUB="","",TITLE_IST_PUB),TITLE_IST_PUB_CHANGE)</f>
        <v>http://pravo.gov.ru</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6011" customFormat="1" customHeight="1" ht="18.75" hidden="1">
      <c r="A34" s="1312"/>
      <c r="B34" s="1312"/>
      <c r="C34" s="1312"/>
      <c r="D34" s="1312"/>
      <c r="E34" s="1312"/>
      <c r="F34" s="1312"/>
      <c r="G34" s="1312"/>
      <c r="H34" s="1312"/>
      <c r="I34" s="1312"/>
      <c r="J34" s="1312"/>
      <c r="K34" s="1312"/>
      <c r="L34" s="1444"/>
      <c r="M34" s="1312"/>
      <c r="N34" s="1312"/>
      <c r="O34" s="1312"/>
      <c r="S34" s="2314" t="s">
        <v>427</v>
      </c>
      <c r="T34" s="2314"/>
      <c r="U34" s="1436"/>
      <c r="V34" s="2328" t="str">
        <f>IF(TITLE_DATE_PR_CHANGE="",IF(TITLE_DATE_PR="","",TITLE_DATE_PR),TITLE_DATE_PR_CHANGE)</f>
        <v>46008.48059027778</v>
      </c>
      <c r="W34" s="2328"/>
      <c r="X34" s="2328"/>
      <c r="Y34" s="2328"/>
      <c r="Z34" s="2328"/>
      <c r="AA34" s="2328"/>
      <c r="AB34" s="2328"/>
      <c r="AC34" s="1699"/>
      <c r="AD34" s="2328" t="str">
        <f>IF(TITLE_DATE_PR_CHANGE="",IF(TITLE_DATE_PR="","",TITLE_DATE_PR),TITLE_DATE_PR_CHANGE)</f>
        <v>46008.48059027778</v>
      </c>
      <c r="AE34" s="2328"/>
      <c r="AF34" s="2328"/>
      <c r="AG34" s="2328"/>
      <c r="AH34" s="2328"/>
      <c r="AI34" s="2328"/>
      <c r="AJ34" s="2328"/>
      <c r="AK34" s="1699"/>
      <c r="AL34" s="1699"/>
      <c r="AM34" s="344"/>
      <c r="AN34" s="432"/>
      <c r="AO34" s="432"/>
      <c r="AP34" s="432"/>
      <c r="AQ34" s="432"/>
      <c r="AR34" s="432"/>
      <c r="AS34" s="482">
        <v>0</v>
      </c>
    </row>
    <row s="6011" customFormat="1" customHeight="1" ht="18.75" hidden="1">
      <c r="A35" s="1312"/>
      <c r="B35" s="1312"/>
      <c r="C35" s="1312"/>
      <c r="D35" s="1312"/>
      <c r="E35" s="1312"/>
      <c r="F35" s="1312"/>
      <c r="G35" s="1312"/>
      <c r="H35" s="1312"/>
      <c r="I35" s="1312"/>
      <c r="J35" s="1312"/>
      <c r="K35" s="1312"/>
      <c r="L35" s="1444"/>
      <c r="M35" s="1312"/>
      <c r="N35" s="1312"/>
      <c r="O35" s="1312"/>
      <c r="S35" s="2314" t="s">
        <v>428</v>
      </c>
      <c r="T35" s="2314"/>
      <c r="U35" s="1436"/>
      <c r="V35" s="2315" t="str">
        <f>IF(TITLE_NUMBER_PR_CHANGE="",IF(TITLE_NUMBER_PR="","",TITLE_NUMBER_PR),TITLE_NUMBER_PR_CHANGE)</f>
        <v>58</v>
      </c>
      <c r="W35" s="2315"/>
      <c r="X35" s="2315"/>
      <c r="Y35" s="2315"/>
      <c r="Z35" s="2315"/>
      <c r="AA35" s="2315"/>
      <c r="AB35" s="2315"/>
      <c r="AC35" s="1699"/>
      <c r="AD35" s="2315" t="str">
        <f>IF(TITLE_NUMBER_PR_CHANGE="",IF(TITLE_NUMBER_PR="","",TITLE_NUMBER_PR),TITLE_NUMBER_PR_CHANGE)</f>
        <v>58</v>
      </c>
      <c r="AE35" s="2315"/>
      <c r="AF35" s="2315"/>
      <c r="AG35" s="2315"/>
      <c r="AH35" s="2315"/>
      <c r="AI35" s="2315"/>
      <c r="AJ35" s="2315"/>
      <c r="AK35" s="1699"/>
      <c r="AL35" s="1699"/>
      <c r="AM35" s="344"/>
      <c r="AN35" s="432"/>
      <c r="AO35" s="432"/>
      <c r="AP35" s="432"/>
      <c r="AQ35" s="432"/>
      <c r="AR35" s="432"/>
      <c r="AS35" s="482">
        <v>0</v>
      </c>
    </row>
    <row s="601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429</v>
      </c>
      <c r="AD36" s="1699"/>
      <c r="AE36" s="1699"/>
      <c r="AF36" s="1699"/>
      <c r="AG36" s="1699"/>
      <c r="AH36" s="1699"/>
      <c r="AI36" s="1699"/>
      <c r="AJ36" s="1699"/>
      <c r="AK36" s="1706" t="s">
        <v>429</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695">
        <v>14</v>
      </c>
    </row>
    <row customHeight="1" ht="14.699999999999998">
      <c r="Q39" s="440"/>
      <c r="R39" s="440"/>
      <c r="S39" s="2337" t="s">
        <v>89</v>
      </c>
      <c r="T39" s="2273" t="s">
        <v>430</v>
      </c>
      <c r="U39" s="401"/>
      <c r="V39" s="2338" t="s">
        <v>431</v>
      </c>
      <c r="W39" s="2339"/>
      <c r="X39" s="2339"/>
      <c r="Y39" s="2339"/>
      <c r="Z39" s="2339"/>
      <c r="AA39" s="2339"/>
      <c r="AB39" s="2340"/>
      <c r="AC39" s="2341" t="s">
        <v>432</v>
      </c>
      <c r="AD39" s="2338" t="s">
        <v>431</v>
      </c>
      <c r="AE39" s="2339"/>
      <c r="AF39" s="2339"/>
      <c r="AG39" s="2339"/>
      <c r="AH39" s="2339"/>
      <c r="AI39" s="2339"/>
      <c r="AJ39" s="2340"/>
      <c r="AK39" s="2341" t="s">
        <v>433</v>
      </c>
      <c r="AL39" s="2344" t="s">
        <v>434</v>
      </c>
      <c r="AM39" s="2191"/>
      <c r="AS39" s="1695">
        <v>14</v>
      </c>
    </row>
    <row customHeight="1" ht="35.699999999999996">
      <c r="Q40" s="440"/>
      <c r="R40" s="440"/>
      <c r="S40" s="2337"/>
      <c r="T40" s="2273"/>
      <c r="U40" s="1095"/>
      <c r="V40" s="2324" t="s">
        <v>435</v>
      </c>
      <c r="W40" s="2347" t="s">
        <v>436</v>
      </c>
      <c r="X40" s="2326" t="s">
        <v>437</v>
      </c>
      <c r="Y40" s="2327"/>
      <c r="Z40" s="2326" t="s">
        <v>450</v>
      </c>
      <c r="AA40" s="2333"/>
      <c r="AB40" s="2327"/>
      <c r="AC40" s="2342"/>
      <c r="AD40" s="2324" t="s">
        <v>435</v>
      </c>
      <c r="AE40" s="2347" t="s">
        <v>436</v>
      </c>
      <c r="AF40" s="2326" t="s">
        <v>437</v>
      </c>
      <c r="AG40" s="2327"/>
      <c r="AH40" s="2326" t="s">
        <v>438</v>
      </c>
      <c r="AI40" s="2333"/>
      <c r="AJ40" s="2327"/>
      <c r="AK40" s="2342"/>
      <c r="AL40" s="2345"/>
      <c r="AM40" s="2191"/>
      <c r="AS40" s="1695">
        <v>34</v>
      </c>
    </row>
    <row customHeight="1" ht="35.699999999999996">
      <c r="A41" s="1330"/>
      <c r="B41" s="1330" t="s">
        <v>136</v>
      </c>
      <c r="C41" s="1330" t="s">
        <v>137</v>
      </c>
      <c r="D41" s="1330" t="s">
        <v>138</v>
      </c>
      <c r="E41" s="1374" t="s">
        <v>439</v>
      </c>
      <c r="F41" s="1374" t="s">
        <v>440</v>
      </c>
      <c r="G41" s="1374" t="s">
        <v>441</v>
      </c>
      <c r="H41" s="1374" t="s">
        <v>442</v>
      </c>
      <c r="I41" s="1374" t="s">
        <v>443</v>
      </c>
      <c r="J41" s="1374" t="s">
        <v>444</v>
      </c>
      <c r="K41" s="1374" t="s">
        <v>445</v>
      </c>
      <c r="L41" s="1374" t="s">
        <v>420</v>
      </c>
      <c r="Q41" s="440"/>
      <c r="R41" s="440"/>
      <c r="S41" s="2337"/>
      <c r="T41" s="2273"/>
      <c r="U41" s="366"/>
      <c r="V41" s="2325"/>
      <c r="W41" s="2348"/>
      <c r="X41" s="2002" t="s">
        <v>446</v>
      </c>
      <c r="Y41" s="2002" t="s">
        <v>447</v>
      </c>
      <c r="Z41" s="2002" t="s">
        <v>448</v>
      </c>
      <c r="AA41" s="2334" t="s">
        <v>449</v>
      </c>
      <c r="AB41" s="2335"/>
      <c r="AC41" s="2343"/>
      <c r="AD41" s="2325"/>
      <c r="AE41" s="2348"/>
      <c r="AF41" s="2002" t="s">
        <v>446</v>
      </c>
      <c r="AG41" s="2002" t="s">
        <v>447</v>
      </c>
      <c r="AH41" s="2002" t="s">
        <v>448</v>
      </c>
      <c r="AI41" s="2334" t="s">
        <v>449</v>
      </c>
      <c r="AJ41" s="2335"/>
      <c r="AK41" s="2343"/>
      <c r="AL41" s="2346"/>
      <c r="AM41" s="2191"/>
      <c r="AS41" s="1695">
        <v>34</v>
      </c>
    </row>
    <row s="3710"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110</v>
      </c>
      <c r="T42" s="1319" t="s">
        <v>111</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211</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124</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211</v>
      </c>
      <c r="B44" s="1331" t="s">
        <v>212</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1688"/>
      <c r="AP44" s="1688" t="str">
        <f>IF(T44="","",T44)</f>
        <v>Территория действия тарифа</v>
      </c>
      <c r="AQ44" s="1688"/>
      <c r="AR44" s="1688"/>
      <c r="AS44" s="1695">
        <v>21</v>
      </c>
    </row>
    <row customHeight="1" ht="24">
      <c r="A45" s="1331" t="s">
        <v>211</v>
      </c>
      <c r="B45" s="1331" t="s">
        <v>212</v>
      </c>
      <c r="C45" s="1331" t="s">
        <v>213</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1688"/>
      <c r="AP45" s="1688" t="str">
        <f>IF(T45="","",T45)</f>
        <v>Наименование системы теплоснабжения </v>
      </c>
      <c r="AQ45" s="1688"/>
      <c r="AR45" s="1688"/>
      <c r="AS45" s="1695">
        <v>23</v>
      </c>
    </row>
    <row customHeight="1" ht="22.049999999999997">
      <c r="A46" s="1331" t="s">
        <v>211</v>
      </c>
      <c r="B46" s="1331" t="s">
        <v>212</v>
      </c>
      <c r="C46" s="1331" t="s">
        <v>213</v>
      </c>
      <c r="D46" s="1331" t="s">
        <v>214</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1688"/>
      <c r="AP46" s="1688" t="str">
        <f>IF(T46="","",T46)</f>
        <v>Источник тепловой энергии  </v>
      </c>
      <c r="AQ46" s="1688"/>
      <c r="AR46" s="1688"/>
      <c r="AS46" s="1695">
        <v>21</v>
      </c>
    </row>
    <row customHeight="1" ht="49.5">
      <c r="A47" s="1331" t="s">
        <v>211</v>
      </c>
      <c r="B47" s="1331" t="s">
        <v>212</v>
      </c>
      <c r="C47" s="1331" t="s">
        <v>213</v>
      </c>
      <c r="D47" s="1331" t="s">
        <v>214</v>
      </c>
      <c r="E47" s="2354"/>
      <c r="F47" s="2354"/>
      <c r="G47" s="2354"/>
      <c r="H47" s="2354"/>
      <c r="I47" s="2191" t="str">
        <f>S46&amp;".1"</f>
        <v>....1</v>
      </c>
      <c r="J47" s="1331"/>
      <c r="K47" s="1331"/>
      <c r="L47" s="1374" t="s">
        <v>407</v>
      </c>
      <c r="P47" s="2321">
        <v>1</v>
      </c>
      <c r="Q47" s="2018"/>
      <c r="R47" s="420"/>
      <c r="S47" s="2022"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211</v>
      </c>
      <c r="B48" s="1331" t="s">
        <v>212</v>
      </c>
      <c r="C48" s="1331" t="s">
        <v>213</v>
      </c>
      <c r="D48" s="1331" t="s">
        <v>214</v>
      </c>
      <c r="E48" s="2354"/>
      <c r="F48" s="2354"/>
      <c r="G48" s="2354"/>
      <c r="H48" s="2354"/>
      <c r="I48" s="2165"/>
      <c r="J48" s="2191" t="str">
        <f>I47&amp;".1"</f>
        <v>....1.1</v>
      </c>
      <c r="K48" s="1331"/>
      <c r="L48" s="1374" t="s">
        <v>410</v>
      </c>
      <c r="P48" s="2321"/>
      <c r="Q48" s="2321">
        <v>1</v>
      </c>
      <c r="R48" s="421"/>
      <c r="S48" s="2022"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1688"/>
      <c r="AP48" s="1688" t="str">
        <f>IF(T48="","",T48)</f>
        <v>Группа потребителей</v>
      </c>
      <c r="AQ48" s="1688"/>
      <c r="AR48" s="1688"/>
      <c r="AS48" s="1695">
        <v>21</v>
      </c>
    </row>
    <row customHeight="1" ht="22.049999999999997">
      <c r="A49" s="1331" t="s">
        <v>211</v>
      </c>
      <c r="B49" s="1331" t="s">
        <v>212</v>
      </c>
      <c r="C49" s="1331" t="s">
        <v>213</v>
      </c>
      <c r="D49" s="1331" t="s">
        <v>214</v>
      </c>
      <c r="E49" s="2354"/>
      <c r="F49" s="2354"/>
      <c r="G49" s="2354"/>
      <c r="H49" s="2354"/>
      <c r="I49" s="2165"/>
      <c r="J49" s="2165"/>
      <c r="K49" s="2191" t="str">
        <f>J48&amp;".1"</f>
        <v>....1.1.1</v>
      </c>
      <c r="L49" s="1374" t="s">
        <v>413</v>
      </c>
      <c r="P49" s="2321"/>
      <c r="Q49" s="2321"/>
      <c r="R49" s="421">
        <v>1</v>
      </c>
      <c r="S49" s="2022" t="str">
        <f>$K49</f>
        <v>....1.1.1</v>
      </c>
      <c r="T49" s="1411"/>
      <c r="U49" s="364"/>
      <c r="V49" s="815"/>
      <c r="W49" s="389"/>
      <c r="X49" s="815"/>
      <c r="Y49" s="1321"/>
      <c r="Z49" s="2329"/>
      <c r="AA49" s="2171" t="s">
        <v>62</v>
      </c>
      <c r="AB49" s="2329"/>
      <c r="AC49" s="2171" t="s">
        <v>62</v>
      </c>
      <c r="AD49" s="815"/>
      <c r="AE49" s="389"/>
      <c r="AF49" s="815"/>
      <c r="AG49" s="1321"/>
      <c r="AH49" s="2329"/>
      <c r="AI49" s="2171" t="s">
        <v>62</v>
      </c>
      <c r="AJ49" s="2351"/>
      <c r="AK49" s="2171" t="s">
        <v>62</v>
      </c>
      <c r="AL49" s="1412"/>
      <c r="AM49" s="2317" t="s">
        <v>414</v>
      </c>
      <c r="AN49" s="1700">
        <f>STRCHECKDATE(V50:AL50)</f>
      </c>
      <c r="AO49" s="1688"/>
      <c r="AP49" s="1688" t="str">
        <f>IF(T49="","",T49)</f>
        <v/>
      </c>
      <c r="AQ49" s="1688"/>
      <c r="AR49" s="1688"/>
      <c r="AS49" s="1695">
        <v>21</v>
      </c>
    </row>
    <row customHeight="1" ht="1.05">
      <c r="A50" s="1331" t="s">
        <v>211</v>
      </c>
      <c r="B50" s="1331" t="s">
        <v>212</v>
      </c>
      <c r="C50" s="1331" t="s">
        <v>213</v>
      </c>
      <c r="D50" s="1331" t="s">
        <v>214</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211</v>
      </c>
      <c r="B51" s="1331" t="s">
        <v>212</v>
      </c>
      <c r="C51" s="1331" t="s">
        <v>213</v>
      </c>
      <c r="D51" s="1331" t="s">
        <v>214</v>
      </c>
      <c r="E51" s="2354"/>
      <c r="F51" s="2354"/>
      <c r="G51" s="2354"/>
      <c r="H51" s="2354"/>
      <c r="I51" s="2165"/>
      <c r="J51" s="2191"/>
      <c r="K51" s="1331"/>
      <c r="L51" s="1374"/>
      <c r="P51" s="2321"/>
      <c r="Q51" s="2321"/>
      <c r="R51" s="420"/>
      <c r="S51" s="1342"/>
      <c r="T51" s="352" t="s">
        <v>415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211</v>
      </c>
      <c r="B52" s="1331" t="s">
        <v>212</v>
      </c>
      <c r="C52" s="1331" t="s">
        <v>213</v>
      </c>
      <c r="D52" s="1331" t="s">
        <v>214</v>
      </c>
      <c r="E52" s="2354"/>
      <c r="F52" s="2354"/>
      <c r="G52" s="2354"/>
      <c r="H52" s="2354"/>
      <c r="I52" s="2191"/>
      <c r="J52" s="1331"/>
      <c r="K52" s="1331"/>
      <c r="L52" s="1374"/>
      <c r="P52" s="2321"/>
      <c r="Q52" s="2018"/>
      <c r="R52" s="420"/>
      <c r="S52" s="1342"/>
      <c r="T52" s="351" t="s">
        <v>416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211</v>
      </c>
      <c r="B53" s="1331" t="s">
        <v>212</v>
      </c>
      <c r="C53" s="1331" t="s">
        <v>213</v>
      </c>
      <c r="D53" s="1331" t="s">
        <v>214</v>
      </c>
      <c r="E53" s="2354"/>
      <c r="F53" s="2354"/>
      <c r="G53" s="2354"/>
      <c r="H53" s="2353"/>
      <c r="I53" s="1331"/>
      <c r="J53" s="1331"/>
      <c r="K53" s="1331"/>
      <c r="L53" s="1374"/>
      <c r="M53" s="1674"/>
      <c r="N53" s="1674"/>
      <c r="O53" s="1699"/>
      <c r="P53" s="424"/>
      <c r="Q53" s="439"/>
      <c r="R53" s="419"/>
      <c r="S53" s="1342"/>
      <c r="T53" s="429" t="s">
        <v>417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976" customFormat="1" customHeight="1" ht="1.05">
      <c r="A54" s="1331" t="s">
        <v>211</v>
      </c>
      <c r="B54" s="1331" t="s">
        <v>212</v>
      </c>
      <c r="C54" s="1331" t="s">
        <v>213</v>
      </c>
      <c r="D54" s="2038"/>
      <c r="E54" s="2354"/>
      <c r="F54" s="2354"/>
      <c r="G54" s="2353"/>
      <c r="H54" s="2038"/>
      <c r="I54" s="2038"/>
      <c r="J54" s="2038"/>
      <c r="K54" s="2038"/>
      <c r="L54" s="1444"/>
      <c r="M54" s="1674"/>
      <c r="N54" s="1674"/>
      <c r="O54" s="169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976" customFormat="1" customHeight="1" ht="1.05">
      <c r="A55" s="1331" t="s">
        <v>211</v>
      </c>
      <c r="B55" s="1331" t="s">
        <v>212</v>
      </c>
      <c r="C55" s="2038"/>
      <c r="D55" s="2038"/>
      <c r="E55" s="2354"/>
      <c r="F55" s="2353"/>
      <c r="G55" s="2038"/>
      <c r="H55" s="2038"/>
      <c r="I55" s="2038"/>
      <c r="J55" s="2038"/>
      <c r="K55" s="2038"/>
      <c r="L55" s="1444"/>
      <c r="M55" s="2039"/>
      <c r="N55" s="2039"/>
      <c r="O55" s="1699"/>
      <c r="P55" s="1380"/>
      <c r="Q55" s="1381"/>
      <c r="R55" s="1380"/>
      <c r="S55" s="1386"/>
      <c r="T55" s="1389" t="s">
        <v>255</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976" customFormat="1" customHeight="1" ht="1.05">
      <c r="A56" s="1331" t="s">
        <v>211</v>
      </c>
      <c r="B56" s="1331"/>
      <c r="C56" s="1331"/>
      <c r="D56" s="1331"/>
      <c r="E56" s="2353"/>
      <c r="F56" s="1331"/>
      <c r="G56" s="1331"/>
      <c r="H56" s="1331"/>
      <c r="I56" s="1331"/>
      <c r="J56" s="1331"/>
      <c r="K56" s="1331"/>
      <c r="L56" s="1374"/>
      <c r="M56" s="2039"/>
      <c r="N56" s="2039"/>
      <c r="O56" s="1699"/>
      <c r="P56" s="444"/>
      <c r="Q56" s="1408"/>
      <c r="R56" s="444"/>
      <c r="S56" s="1386"/>
      <c r="T56" s="1389" t="s">
        <v>256</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976"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257</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83</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ACC77-08E4-C699-E103-0.DC77B0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1.00390625" customWidth="1"/>
    <col min="21" max="21" style="5468" width="0.7109375" hidden="1" customWidth="1"/>
    <col min="22" max="22" style="5468" width="1.7109375" hidden="1" customWidth="1"/>
    <col min="23" max="23" style="5468" width="24.7109375" hidden="1" customWidth="1"/>
    <col min="24" max="25" style="5468" width="0.14062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0.140625" customWidth="1"/>
    <col min="31" max="31" style="5468" width="24.00390625" customWidth="1"/>
    <col min="32" max="33" style="5468" width="0.140625" customWidth="1"/>
    <col min="34" max="34" style="5468" width="11.00390625" customWidth="1"/>
    <col min="35" max="35" style="5468" width="3.7109375" customWidth="1"/>
    <col min="36" max="36" style="5468" width="11.00390625" customWidth="1"/>
    <col min="37" max="37" style="5468" width="8.57421875" hidden="1" customWidth="1"/>
    <col min="38" max="38" style="5468" width="4.00390625" customWidth="1"/>
    <col min="39" max="39" style="5468" width="115.00390625" customWidth="1"/>
    <col min="40" max="44" style="4976" width="10.00390625" customWidth="1"/>
    <col min="45" max="45" style="546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124</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95"/>
      <c r="R6" s="420"/>
      <c r="S6" s="1400">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389"/>
      <c r="W8" s="815"/>
      <c r="X8" s="389"/>
      <c r="Y8" s="448"/>
      <c r="Z8" s="2329"/>
      <c r="AA8" s="2171" t="s">
        <v>62</v>
      </c>
      <c r="AB8" s="2329"/>
      <c r="AC8" s="2171" t="s">
        <v>62</v>
      </c>
      <c r="AD8" s="389"/>
      <c r="AE8" s="815"/>
      <c r="AF8" s="389"/>
      <c r="AG8" s="448"/>
      <c r="AH8" s="2329"/>
      <c r="AI8" s="2171" t="s">
        <v>62</v>
      </c>
      <c r="AJ8" s="2329"/>
      <c r="AK8" s="2171" t="s">
        <v>62</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976"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976"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976"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62</v>
      </c>
      <c r="AJ17" s="2331"/>
      <c r="AK17" s="2332" t="s">
        <v>62</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416" customFormat="1" customHeight="1" ht="22.5" hidden="1">
      <c r="L20" s="1393"/>
      <c r="M20" s="1426"/>
      <c r="N20" s="1426"/>
      <c r="O20" s="1431" t="s">
        <v>419</v>
      </c>
      <c r="P20" s="1426"/>
      <c r="Q20" s="1435"/>
      <c r="R20" s="1435"/>
      <c r="S20" s="793"/>
      <c r="Z20" s="1431"/>
      <c r="AB20" s="1431"/>
      <c r="AC20" s="1430"/>
      <c r="AH20" s="1431"/>
      <c r="AJ20" s="1431"/>
      <c r="AK20" s="1430"/>
      <c r="AN20" s="575"/>
      <c r="AO20" s="575"/>
      <c r="AP20" s="575"/>
      <c r="AQ20" s="575"/>
      <c r="AR20" s="575"/>
      <c r="AS20" s="1224">
        <v>0</v>
      </c>
    </row>
    <row s="5416" customFormat="1" customHeight="1" ht="14.25" hidden="1">
      <c r="L21" s="1393"/>
      <c r="M21" s="1426"/>
      <c r="N21" s="1426"/>
      <c r="O21" s="1426"/>
      <c r="P21" s="1426"/>
      <c r="Q21" s="1435"/>
      <c r="R21" s="1435"/>
      <c r="S21" s="793"/>
      <c r="AC21" s="1430"/>
      <c r="AK21" s="1430"/>
      <c r="AN21" s="575"/>
      <c r="AO21" s="575"/>
      <c r="AP21" s="575"/>
      <c r="AQ21" s="575"/>
      <c r="AR21" s="575"/>
      <c r="AS21" s="1224">
        <v>0</v>
      </c>
    </row>
    <row s="5416" customFormat="1" customHeight="1" ht="33.75" hidden="1">
      <c r="L22" s="1393"/>
      <c r="M22" s="1426"/>
      <c r="N22" s="1426"/>
      <c r="O22" s="1428" t="s">
        <v>420</v>
      </c>
      <c r="P22" s="1426"/>
      <c r="Q22" s="1435"/>
      <c r="R22" s="1435"/>
      <c r="S22" s="793"/>
      <c r="T22" s="1224" t="s">
        <v>421</v>
      </c>
      <c r="AA22" s="250" t="s">
        <v>422</v>
      </c>
      <c r="AC22" s="250" t="s">
        <v>423</v>
      </c>
      <c r="AD22" s="1224" t="s">
        <v>421</v>
      </c>
      <c r="AI22" s="250" t="s">
        <v>424</v>
      </c>
      <c r="AK22" s="250" t="s">
        <v>423</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Нарьян-Марское МУ ПОКиТС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601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УГРЦТ НАО</v>
      </c>
      <c r="W29" s="2315"/>
      <c r="X29" s="2315"/>
      <c r="Y29" s="2315"/>
      <c r="Z29" s="2315"/>
      <c r="AA29" s="2315"/>
      <c r="AB29" s="2315"/>
      <c r="AC29" s="390"/>
      <c r="AD29" s="2315" t="str">
        <f>IF(TITLE_NAME_OR_PR_CHANGE="",IF(TITLE_NAME_OR_PR="","",TITLE_NAME_OR_PR),TITLE_NAME_OR_PR_CHANGE)</f>
        <v>УГРЦТ НАО</v>
      </c>
      <c r="AE29" s="2315"/>
      <c r="AF29" s="2315"/>
      <c r="AG29" s="2315"/>
      <c r="AH29" s="2315"/>
      <c r="AI29" s="2315"/>
      <c r="AJ29" s="2315"/>
      <c r="AK29" s="390"/>
      <c r="AL29" s="390"/>
      <c r="AM29" s="344"/>
      <c r="AN29" s="432"/>
      <c r="AO29" s="432"/>
      <c r="AP29" s="432"/>
      <c r="AQ29" s="432"/>
      <c r="AR29" s="432"/>
      <c r="AS29" s="482">
        <v>0</v>
      </c>
    </row>
    <row s="6011" customFormat="1" customHeight="1" ht="18.75">
      <c r="A30" s="1432"/>
      <c r="B30" s="1432"/>
      <c r="C30" s="1432"/>
      <c r="D30" s="1432"/>
      <c r="E30" s="1432"/>
      <c r="F30" s="1432"/>
      <c r="G30" s="1432"/>
      <c r="H30" s="1432"/>
      <c r="I30" s="1432"/>
      <c r="J30" s="1432"/>
      <c r="K30" s="1432"/>
      <c r="L30" s="1433"/>
      <c r="M30" s="1432"/>
      <c r="N30" s="1432"/>
      <c r="O30" s="1432"/>
      <c r="S30" s="2314" t="s">
        <v>425</v>
      </c>
      <c r="T30" s="2314"/>
      <c r="U30" s="1436"/>
      <c r="V30" s="2328" t="str">
        <f>IF(TITLE_DATE_PR_CHANGE="",IF(TITLE_DATE_PR="","",TITLE_DATE_PR),TITLE_DATE_PR_CHANGE)</f>
        <v>46008.48059027778</v>
      </c>
      <c r="W30" s="2328"/>
      <c r="X30" s="2328"/>
      <c r="Y30" s="2328"/>
      <c r="Z30" s="2328"/>
      <c r="AA30" s="2328"/>
      <c r="AB30" s="2328"/>
      <c r="AC30" s="390"/>
      <c r="AD30" s="2328" t="str">
        <f>IF(TITLE_DATE_PR_CHANGE="",IF(TITLE_DATE_PR="","",TITLE_DATE_PR),TITLE_DATE_PR_CHANGE)</f>
        <v>46008.48059027778</v>
      </c>
      <c r="AE30" s="2328"/>
      <c r="AF30" s="2328"/>
      <c r="AG30" s="2328"/>
      <c r="AH30" s="2328"/>
      <c r="AI30" s="2328"/>
      <c r="AJ30" s="2328"/>
      <c r="AK30" s="390"/>
      <c r="AL30" s="390"/>
      <c r="AM30" s="344"/>
      <c r="AN30" s="432"/>
      <c r="AO30" s="432"/>
      <c r="AP30" s="432"/>
      <c r="AQ30" s="432"/>
      <c r="AR30" s="432"/>
      <c r="AS30" s="482">
        <v>0</v>
      </c>
    </row>
    <row s="6011" customFormat="1" customHeight="1" ht="18.75">
      <c r="A31" s="1432"/>
      <c r="B31" s="1432"/>
      <c r="C31" s="1432"/>
      <c r="D31" s="1432"/>
      <c r="E31" s="1432"/>
      <c r="F31" s="1432"/>
      <c r="G31" s="1432"/>
      <c r="H31" s="1432"/>
      <c r="I31" s="1432"/>
      <c r="J31" s="1432"/>
      <c r="K31" s="1432"/>
      <c r="L31" s="1433"/>
      <c r="M31" s="1432"/>
      <c r="N31" s="1432"/>
      <c r="O31" s="1432"/>
      <c r="S31" s="2314" t="s">
        <v>426</v>
      </c>
      <c r="T31" s="2314"/>
      <c r="U31" s="1436"/>
      <c r="V31" s="2315" t="str">
        <f>IF(TITLE_NUMBER_PR_CHANGE="",IF(TITLE_NUMBER_PR="","",TITLE_NUMBER_PR),TITLE_NUMBER_PR_CHANGE)</f>
        <v>58</v>
      </c>
      <c r="W31" s="2315"/>
      <c r="X31" s="2315"/>
      <c r="Y31" s="2315"/>
      <c r="Z31" s="2315"/>
      <c r="AA31" s="2315"/>
      <c r="AB31" s="2315"/>
      <c r="AC31" s="390"/>
      <c r="AD31" s="2315" t="str">
        <f>IF(TITLE_NUMBER_PR_CHANGE="",IF(TITLE_NUMBER_PR="","",TITLE_NUMBER_PR),TITLE_NUMBER_PR_CHANGE)</f>
        <v>58</v>
      </c>
      <c r="AE31" s="2315"/>
      <c r="AF31" s="2315"/>
      <c r="AG31" s="2315"/>
      <c r="AH31" s="2315"/>
      <c r="AI31" s="2315"/>
      <c r="AJ31" s="2315"/>
      <c r="AK31" s="390"/>
      <c r="AL31" s="390"/>
      <c r="AM31" s="344"/>
      <c r="AN31" s="432"/>
      <c r="AO31" s="432"/>
      <c r="AP31" s="432"/>
      <c r="AQ31" s="432"/>
      <c r="AR31" s="432"/>
      <c r="AS31" s="482">
        <v>0</v>
      </c>
    </row>
    <row s="601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http://pravo.gov.ru</v>
      </c>
      <c r="W32" s="2315"/>
      <c r="X32" s="2315"/>
      <c r="Y32" s="2315"/>
      <c r="Z32" s="2315"/>
      <c r="AA32" s="2315"/>
      <c r="AB32" s="2315"/>
      <c r="AC32" s="390"/>
      <c r="AD32" s="2315" t="str">
        <f>IF(TITLE_IST_PUB_CHANGE="",IF(TITLE_IST_PUB="","",TITLE_IST_PUB),TITLE_IST_PUB_CHANGE)</f>
        <v>http://pravo.gov.ru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6011" customFormat="1" customHeight="1" ht="18.75" hidden="1">
      <c r="A34" s="1432"/>
      <c r="B34" s="1432"/>
      <c r="C34" s="1432"/>
      <c r="D34" s="1432"/>
      <c r="E34" s="1432"/>
      <c r="F34" s="1432"/>
      <c r="G34" s="1432"/>
      <c r="H34" s="1432"/>
      <c r="I34" s="1432"/>
      <c r="J34" s="1432"/>
      <c r="K34" s="1432"/>
      <c r="L34" s="1433"/>
      <c r="M34" s="1432"/>
      <c r="N34" s="1432"/>
      <c r="O34" s="1432"/>
      <c r="S34" s="2314" t="s">
        <v>427</v>
      </c>
      <c r="T34" s="2314"/>
      <c r="U34" s="1436"/>
      <c r="V34" s="2328" t="str">
        <f>IF(TITLE_DATE_PR_CHANGE="",IF(TITLE_DATE_PR="","",TITLE_DATE_PR),TITLE_DATE_PR_CHANGE)</f>
        <v>46008.48059027778</v>
      </c>
      <c r="W34" s="2328"/>
      <c r="X34" s="2328"/>
      <c r="Y34" s="2328"/>
      <c r="Z34" s="2328"/>
      <c r="AA34" s="2328"/>
      <c r="AB34" s="2328"/>
      <c r="AC34" s="390"/>
      <c r="AD34" s="2328" t="str">
        <f>IF(TITLE_DATE_PR_CHANGE="",IF(TITLE_DATE_PR="","",TITLE_DATE_PR),TITLE_DATE_PR_CHANGE)</f>
        <v>46008.48059027778</v>
      </c>
      <c r="AE34" s="2328"/>
      <c r="AF34" s="2328"/>
      <c r="AG34" s="2328"/>
      <c r="AH34" s="2328"/>
      <c r="AI34" s="2328"/>
      <c r="AJ34" s="2328"/>
      <c r="AK34" s="390"/>
      <c r="AL34" s="390"/>
      <c r="AM34" s="344"/>
      <c r="AN34" s="432"/>
      <c r="AO34" s="432"/>
      <c r="AP34" s="432"/>
      <c r="AQ34" s="432"/>
      <c r="AR34" s="432"/>
      <c r="AS34" s="482">
        <v>0</v>
      </c>
    </row>
    <row s="6011" customFormat="1" customHeight="1" ht="18.75" hidden="1">
      <c r="A35" s="1432"/>
      <c r="B35" s="1432"/>
      <c r="C35" s="1432"/>
      <c r="D35" s="1432"/>
      <c r="E35" s="1432"/>
      <c r="F35" s="1432"/>
      <c r="G35" s="1432"/>
      <c r="H35" s="1432"/>
      <c r="I35" s="1432"/>
      <c r="J35" s="1432"/>
      <c r="K35" s="1432"/>
      <c r="L35" s="1433"/>
      <c r="M35" s="1432"/>
      <c r="N35" s="1432"/>
      <c r="O35" s="1432"/>
      <c r="S35" s="2314" t="s">
        <v>428</v>
      </c>
      <c r="T35" s="2314"/>
      <c r="U35" s="1436"/>
      <c r="V35" s="2315" t="str">
        <f>IF(TITLE_NUMBER_PR_CHANGE="",IF(TITLE_NUMBER_PR="","",TITLE_NUMBER_PR),TITLE_NUMBER_PR_CHANGE)</f>
        <v>58</v>
      </c>
      <c r="W35" s="2315"/>
      <c r="X35" s="2315"/>
      <c r="Y35" s="2315"/>
      <c r="Z35" s="2315"/>
      <c r="AA35" s="2315"/>
      <c r="AB35" s="2315"/>
      <c r="AC35" s="390"/>
      <c r="AD35" s="2315" t="str">
        <f>IF(TITLE_NUMBER_PR_CHANGE="",IF(TITLE_NUMBER_PR="","",TITLE_NUMBER_PR),TITLE_NUMBER_PR_CHANGE)</f>
        <v>58</v>
      </c>
      <c r="AE35" s="2315"/>
      <c r="AF35" s="2315"/>
      <c r="AG35" s="2315"/>
      <c r="AH35" s="2315"/>
      <c r="AI35" s="2315"/>
      <c r="AJ35" s="2315"/>
      <c r="AK35" s="390"/>
      <c r="AL35" s="390"/>
      <c r="AM35" s="344"/>
      <c r="AN35" s="432"/>
      <c r="AO35" s="432"/>
      <c r="AP35" s="432"/>
      <c r="AQ35" s="432"/>
      <c r="AR35" s="432"/>
      <c r="AS35" s="482">
        <v>0</v>
      </c>
    </row>
    <row s="601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429</v>
      </c>
      <c r="AD36" s="390"/>
      <c r="AE36" s="390"/>
      <c r="AF36" s="390"/>
      <c r="AG36" s="390"/>
      <c r="AH36" s="390"/>
      <c r="AI36" s="390"/>
      <c r="AJ36" s="390"/>
      <c r="AK36" s="342" t="s">
        <v>429</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89</v>
      </c>
      <c r="T39" s="2273" t="s">
        <v>430</v>
      </c>
      <c r="U39" s="365"/>
      <c r="V39" s="2338" t="s">
        <v>431</v>
      </c>
      <c r="W39" s="2339"/>
      <c r="X39" s="2355"/>
      <c r="Y39" s="2355"/>
      <c r="Z39" s="2339"/>
      <c r="AA39" s="2339"/>
      <c r="AB39" s="2340"/>
      <c r="AC39" s="2341" t="s">
        <v>432</v>
      </c>
      <c r="AD39" s="2338" t="s">
        <v>431</v>
      </c>
      <c r="AE39" s="2339"/>
      <c r="AF39" s="2355"/>
      <c r="AG39" s="2355"/>
      <c r="AH39" s="2339"/>
      <c r="AI39" s="2339"/>
      <c r="AJ39" s="2340"/>
      <c r="AK39" s="2341" t="s">
        <v>433</v>
      </c>
      <c r="AL39" s="2344" t="s">
        <v>434</v>
      </c>
      <c r="AM39" s="2191"/>
      <c r="AS39" s="1219">
        <v>14</v>
      </c>
    </row>
    <row customHeight="1" ht="24">
      <c r="Q40" s="440"/>
      <c r="R40" s="440"/>
      <c r="S40" s="2337"/>
      <c r="T40" s="2273"/>
      <c r="U40" s="1095"/>
      <c r="V40" s="2356" t="s">
        <v>435</v>
      </c>
      <c r="W40" s="2358" t="s">
        <v>436</v>
      </c>
      <c r="X40" s="1440" t="s">
        <v>437</v>
      </c>
      <c r="Y40" s="1440"/>
      <c r="Z40" s="2333" t="s">
        <v>438</v>
      </c>
      <c r="AA40" s="2333"/>
      <c r="AB40" s="2327"/>
      <c r="AC40" s="2342"/>
      <c r="AD40" s="2356" t="s">
        <v>435</v>
      </c>
      <c r="AE40" s="2358" t="s">
        <v>436</v>
      </c>
      <c r="AF40" s="1440" t="s">
        <v>437</v>
      </c>
      <c r="AG40" s="1440"/>
      <c r="AH40" s="2333" t="s">
        <v>438</v>
      </c>
      <c r="AI40" s="2333"/>
      <c r="AJ40" s="2327"/>
      <c r="AK40" s="2342"/>
      <c r="AL40" s="2345"/>
      <c r="AM40" s="2191"/>
      <c r="AS40" s="1219">
        <v>23</v>
      </c>
    </row>
    <row s="5544" customFormat="1" customHeight="1" ht="24">
      <c r="A41" s="1434"/>
      <c r="B41" s="1434" t="s">
        <v>136</v>
      </c>
      <c r="C41" s="1434" t="s">
        <v>137</v>
      </c>
      <c r="D41" s="1434" t="s">
        <v>138</v>
      </c>
      <c r="E41" s="1428" t="s">
        <v>439</v>
      </c>
      <c r="F41" s="1428" t="s">
        <v>440</v>
      </c>
      <c r="G41" s="1428" t="s">
        <v>441</v>
      </c>
      <c r="H41" s="1428" t="s">
        <v>442</v>
      </c>
      <c r="I41" s="1428" t="s">
        <v>443</v>
      </c>
      <c r="J41" s="1428" t="s">
        <v>444</v>
      </c>
      <c r="K41" s="1428" t="s">
        <v>445</v>
      </c>
      <c r="L41" s="1428" t="s">
        <v>420</v>
      </c>
      <c r="M41" s="1426"/>
      <c r="N41" s="1426"/>
      <c r="O41" s="1426"/>
      <c r="P41" s="1392"/>
      <c r="Q41" s="440"/>
      <c r="R41" s="440"/>
      <c r="S41" s="2337"/>
      <c r="T41" s="2273"/>
      <c r="U41" s="366"/>
      <c r="V41" s="2357"/>
      <c r="W41" s="2359"/>
      <c r="X41" s="1437" t="s">
        <v>446</v>
      </c>
      <c r="Y41" s="1437" t="s">
        <v>447</v>
      </c>
      <c r="Z41" s="1398" t="s">
        <v>448</v>
      </c>
      <c r="AA41" s="2334" t="s">
        <v>449</v>
      </c>
      <c r="AB41" s="2335"/>
      <c r="AC41" s="2343"/>
      <c r="AD41" s="2357"/>
      <c r="AE41" s="2359"/>
      <c r="AF41" s="1437" t="s">
        <v>446</v>
      </c>
      <c r="AG41" s="1437" t="s">
        <v>447</v>
      </c>
      <c r="AH41" s="1398" t="s">
        <v>448</v>
      </c>
      <c r="AI41" s="2334" t="s">
        <v>449</v>
      </c>
      <c r="AJ41" s="2335"/>
      <c r="AK41" s="2343"/>
      <c r="AL41" s="2346"/>
      <c r="AM41" s="2191"/>
      <c r="AN41" s="575"/>
      <c r="AO41" s="564"/>
      <c r="AP41" s="564"/>
      <c r="AQ41" s="564"/>
      <c r="AR41" s="564"/>
      <c r="AS41" s="646">
        <v>23</v>
      </c>
    </row>
    <row s="371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124</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193</v>
      </c>
      <c r="B44" s="1427" t="s">
        <v>194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193</v>
      </c>
      <c r="B45" s="1427" t="s">
        <v>194</v>
      </c>
      <c r="C45" s="1427" t="s">
        <v>195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193</v>
      </c>
      <c r="B46" s="1427" t="s">
        <v>194</v>
      </c>
      <c r="C46" s="1427" t="s">
        <v>195</v>
      </c>
      <c r="D46" s="1427" t="s">
        <v>196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customHeight="1" ht="49.5">
      <c r="A47" s="1427" t="s">
        <v>193</v>
      </c>
      <c r="B47" s="1427" t="s">
        <v>194</v>
      </c>
      <c r="C47" s="1427" t="s">
        <v>195</v>
      </c>
      <c r="D47" s="1427" t="s">
        <v>196</v>
      </c>
      <c r="E47" s="2323"/>
      <c r="F47" s="2323"/>
      <c r="G47" s="2323"/>
      <c r="H47" s="2323"/>
      <c r="I47" s="2320" t="str">
        <f>S46&amp;".1"</f>
        <v>....1</v>
      </c>
      <c r="J47" s="1427"/>
      <c r="K47" s="1427"/>
      <c r="L47" s="1428" t="s">
        <v>407</v>
      </c>
      <c r="P47" s="2321">
        <v>1</v>
      </c>
      <c r="Q47" s="1395"/>
      <c r="R47" s="420"/>
      <c r="S47" s="1400"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193</v>
      </c>
      <c r="B48" s="1427" t="s">
        <v>194</v>
      </c>
      <c r="C48" s="1427" t="s">
        <v>195</v>
      </c>
      <c r="D48" s="1427" t="s">
        <v>196</v>
      </c>
      <c r="E48" s="2323"/>
      <c r="F48" s="2323"/>
      <c r="G48" s="2323"/>
      <c r="H48" s="2323"/>
      <c r="I48" s="2350"/>
      <c r="J48" s="2320" t="str">
        <f>I47&amp;".1"</f>
        <v>....1.1</v>
      </c>
      <c r="K48" s="1427"/>
      <c r="L48" s="1428" t="s">
        <v>410</v>
      </c>
      <c r="P48" s="2321"/>
      <c r="Q48" s="2321">
        <v>1</v>
      </c>
      <c r="R48" s="421"/>
      <c r="S48" s="1400"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193</v>
      </c>
      <c r="B49" s="1427" t="s">
        <v>194</v>
      </c>
      <c r="C49" s="1427" t="s">
        <v>195</v>
      </c>
      <c r="D49" s="1427" t="s">
        <v>196</v>
      </c>
      <c r="E49" s="2323"/>
      <c r="F49" s="2323"/>
      <c r="G49" s="2323"/>
      <c r="H49" s="2323"/>
      <c r="I49" s="2350"/>
      <c r="J49" s="2350"/>
      <c r="K49" s="2320" t="str">
        <f>J48&amp;".1"</f>
        <v>....1.1.1</v>
      </c>
      <c r="L49" s="1428" t="s">
        <v>413</v>
      </c>
      <c r="P49" s="2321"/>
      <c r="Q49" s="2321"/>
      <c r="R49" s="421">
        <v>1</v>
      </c>
      <c r="S49" s="1400" t="str">
        <f>$K49</f>
        <v>....1.1.1</v>
      </c>
      <c r="T49" s="1411"/>
      <c r="U49" s="364"/>
      <c r="V49" s="389"/>
      <c r="W49" s="815"/>
      <c r="X49" s="389"/>
      <c r="Y49" s="448"/>
      <c r="Z49" s="2329"/>
      <c r="AA49" s="2171" t="s">
        <v>62</v>
      </c>
      <c r="AB49" s="2329"/>
      <c r="AC49" s="2171" t="s">
        <v>62</v>
      </c>
      <c r="AD49" s="389"/>
      <c r="AE49" s="815"/>
      <c r="AF49" s="389"/>
      <c r="AG49" s="448"/>
      <c r="AH49" s="2329"/>
      <c r="AI49" s="2171" t="s">
        <v>62</v>
      </c>
      <c r="AJ49" s="2351"/>
      <c r="AK49" s="2171" t="s">
        <v>62</v>
      </c>
      <c r="AL49" s="1412"/>
      <c r="AM49" s="2317" t="s">
        <v>414</v>
      </c>
      <c r="AN49" s="575">
        <f>STRCHECKDATE(V50:AL50)</f>
      </c>
      <c r="AO49" s="564"/>
      <c r="AP49" s="564" t="str">
        <f>IF(T49="","",T49)</f>
        <v/>
      </c>
      <c r="AQ49" s="564"/>
      <c r="AR49" s="564"/>
      <c r="AS49" s="1219">
        <v>21</v>
      </c>
    </row>
    <row customHeight="1" ht="1.05">
      <c r="A50" s="1427" t="s">
        <v>193</v>
      </c>
      <c r="B50" s="1427" t="s">
        <v>194</v>
      </c>
      <c r="C50" s="1427" t="s">
        <v>195</v>
      </c>
      <c r="D50" s="1427" t="s">
        <v>196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193</v>
      </c>
      <c r="B51" s="1427" t="s">
        <v>194</v>
      </c>
      <c r="C51" s="1427" t="s">
        <v>195</v>
      </c>
      <c r="D51" s="1427" t="s">
        <v>196</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193</v>
      </c>
      <c r="B52" s="1427" t="s">
        <v>194</v>
      </c>
      <c r="C52" s="1427" t="s">
        <v>195</v>
      </c>
      <c r="D52" s="1427" t="s">
        <v>196</v>
      </c>
      <c r="E52" s="2323"/>
      <c r="F52" s="2323"/>
      <c r="G52" s="2323"/>
      <c r="H52" s="2323"/>
      <c r="I52" s="2320"/>
      <c r="J52" s="1427"/>
      <c r="K52" s="1427"/>
      <c r="L52" s="1428"/>
      <c r="P52" s="2321"/>
      <c r="Q52" s="1395"/>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193</v>
      </c>
      <c r="B53" s="1427" t="s">
        <v>194</v>
      </c>
      <c r="C53" s="1427" t="s">
        <v>195</v>
      </c>
      <c r="D53" s="1427" t="s">
        <v>196</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976" customFormat="1" customHeight="1" ht="1.05">
      <c r="A54" s="1407" t="s">
        <v>193</v>
      </c>
      <c r="B54" s="1407" t="s">
        <v>194</v>
      </c>
      <c r="C54" s="1407" t="s">
        <v>195</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976" customFormat="1" customHeight="1" ht="1.05">
      <c r="A55" s="1407" t="s">
        <v>193</v>
      </c>
      <c r="B55" s="1407" t="s">
        <v>194</v>
      </c>
      <c r="C55" s="1378"/>
      <c r="D55" s="1378"/>
      <c r="E55" s="2323"/>
      <c r="F55" s="2322"/>
      <c r="G55" s="1378"/>
      <c r="H55" s="1378"/>
      <c r="I55" s="1378"/>
      <c r="J55" s="1378"/>
      <c r="K55" s="1378"/>
      <c r="L55" s="1403"/>
      <c r="M55" s="1385"/>
      <c r="N55" s="1385"/>
      <c r="P55" s="1380"/>
      <c r="Q55" s="1381"/>
      <c r="R55" s="1380"/>
      <c r="S55" s="1386"/>
      <c r="T55" s="1389" t="s">
        <v>255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976" customFormat="1" customHeight="1" ht="1.05">
      <c r="A56" s="1407" t="s">
        <v>193</v>
      </c>
      <c r="B56" s="1407"/>
      <c r="C56" s="1407"/>
      <c r="D56" s="1407"/>
      <c r="E56" s="2322"/>
      <c r="F56" s="1407"/>
      <c r="G56" s="1407"/>
      <c r="H56" s="1407"/>
      <c r="I56" s="1407"/>
      <c r="J56" s="1407"/>
      <c r="K56" s="1407"/>
      <c r="L56" s="1410"/>
      <c r="M56" s="1385"/>
      <c r="N56" s="1385"/>
      <c r="O56" s="582"/>
      <c r="P56" s="444"/>
      <c r="Q56" s="1408"/>
      <c r="R56" s="444"/>
      <c r="S56" s="1386"/>
      <c r="T56" s="1389" t="s">
        <v>256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976"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257</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83</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30A53-D6B2-8EBF-EEF4-0.02D0B3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6151" width="3.7109375" hidden="1" customWidth="1"/>
    <col min="17" max="18" style="5437" width="3.00390625" customWidth="1"/>
    <col min="19" max="19" style="6125" width="12.00390625" customWidth="1"/>
    <col min="20" max="20" style="5468" width="31.00390625" customWidth="1"/>
    <col min="21" max="21" style="5468" width="0.140625" customWidth="1"/>
    <col min="22" max="22" style="5468" width="24.7109375" hidden="1" customWidth="1"/>
    <col min="23" max="23" style="5468" width="0.140625" hidden="1" customWidth="1"/>
    <col min="24" max="25" style="5468" width="24.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24.7109375" customWidth="1"/>
    <col min="31" max="31" style="5468" width="0.140625" customWidth="1"/>
    <col min="32" max="33" style="5468" width="24.00390625" customWidth="1"/>
    <col min="34" max="34" style="5468" width="11.00390625" customWidth="1"/>
    <col min="35" max="35" style="5468" width="3.7109375" customWidth="1"/>
    <col min="36" max="36" style="5468" width="11.00390625" customWidth="1"/>
    <col min="37" max="37" style="5468" width="8.57421875" hidden="1" customWidth="1"/>
    <col min="38" max="38" style="5468" width="4.00390625" customWidth="1"/>
    <col min="39" max="39" style="5468" width="115.00390625" customWidth="1"/>
    <col min="40" max="44" style="4976" width="10.00390625" customWidth="1"/>
    <col min="45" max="45" style="546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124</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62</v>
      </c>
      <c r="AB8" s="2329"/>
      <c r="AC8" s="2171" t="s">
        <v>62</v>
      </c>
      <c r="AD8" s="815"/>
      <c r="AE8" s="389"/>
      <c r="AF8" s="815"/>
      <c r="AG8" s="1321"/>
      <c r="AH8" s="2329"/>
      <c r="AI8" s="2171" t="s">
        <v>62</v>
      </c>
      <c r="AJ8" s="2329"/>
      <c r="AK8" s="2171" t="s">
        <v>62</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976"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976"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976"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62</v>
      </c>
      <c r="AJ17" s="2331"/>
      <c r="AK17" s="2332" t="s">
        <v>62</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416" customFormat="1" customHeight="1" ht="22.5" hidden="1">
      <c r="L20" s="1393"/>
      <c r="M20" s="1426"/>
      <c r="N20" s="1426"/>
      <c r="O20" s="1431" t="s">
        <v>419</v>
      </c>
      <c r="P20" s="1426"/>
      <c r="Q20" s="1435"/>
      <c r="R20" s="1435"/>
      <c r="S20" s="793"/>
      <c r="Z20" s="1431"/>
      <c r="AB20" s="1431"/>
      <c r="AC20" s="1430"/>
      <c r="AH20" s="1431"/>
      <c r="AJ20" s="1431"/>
      <c r="AK20" s="1430"/>
      <c r="AN20" s="575"/>
      <c r="AO20" s="575"/>
      <c r="AP20" s="575"/>
      <c r="AQ20" s="575"/>
      <c r="AR20" s="575"/>
      <c r="AS20" s="1224">
        <v>0</v>
      </c>
    </row>
    <row s="5416" customFormat="1" customHeight="1" ht="14.25" hidden="1">
      <c r="L21" s="1393"/>
      <c r="M21" s="1426"/>
      <c r="N21" s="1426"/>
      <c r="O21" s="1426"/>
      <c r="P21" s="1426"/>
      <c r="Q21" s="1435"/>
      <c r="R21" s="1435"/>
      <c r="S21" s="793"/>
      <c r="AC21" s="1430"/>
      <c r="AK21" s="1430"/>
      <c r="AN21" s="575"/>
      <c r="AO21" s="575"/>
      <c r="AP21" s="575"/>
      <c r="AQ21" s="575"/>
      <c r="AR21" s="575"/>
      <c r="AS21" s="1224">
        <v>0</v>
      </c>
    </row>
    <row s="5416" customFormat="1" customHeight="1" ht="14.25" hidden="1">
      <c r="L22" s="1393"/>
      <c r="M22" s="1426"/>
      <c r="N22" s="1426"/>
      <c r="O22" s="1428" t="s">
        <v>420</v>
      </c>
      <c r="P22" s="1426"/>
      <c r="Q22" s="1435"/>
      <c r="R22" s="1435"/>
      <c r="S22" s="793"/>
      <c r="T22" s="1224" t="s">
        <v>421</v>
      </c>
      <c r="AA22" s="250" t="s">
        <v>422</v>
      </c>
      <c r="AC22" s="250" t="s">
        <v>423</v>
      </c>
      <c r="AD22" s="1224" t="s">
        <v>421</v>
      </c>
      <c r="AI22" s="250" t="s">
        <v>424</v>
      </c>
      <c r="AK22" s="250" t="s">
        <v>423</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Нарьян-Марское МУ ПОКиТС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601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УГРЦТ НАО</v>
      </c>
      <c r="W29" s="2315"/>
      <c r="X29" s="2315"/>
      <c r="Y29" s="2315"/>
      <c r="Z29" s="2315"/>
      <c r="AA29" s="2315"/>
      <c r="AB29" s="2315"/>
      <c r="AC29" s="390"/>
      <c r="AD29" s="2315" t="str">
        <f>IF(TITLE_NAME_OR_PR_CHANGE="",IF(TITLE_NAME_OR_PR="","",TITLE_NAME_OR_PR),TITLE_NAME_OR_PR_CHANGE)</f>
        <v>УГРЦТ НАО</v>
      </c>
      <c r="AE29" s="2315"/>
      <c r="AF29" s="2315"/>
      <c r="AG29" s="2315"/>
      <c r="AH29" s="2315"/>
      <c r="AI29" s="2315"/>
      <c r="AJ29" s="2315"/>
      <c r="AK29" s="390"/>
      <c r="AL29" s="390"/>
      <c r="AM29" s="344"/>
      <c r="AN29" s="432"/>
      <c r="AO29" s="432"/>
      <c r="AP29" s="432"/>
      <c r="AQ29" s="432"/>
      <c r="AR29" s="432"/>
      <c r="AS29" s="482">
        <v>0</v>
      </c>
    </row>
    <row s="6011" customFormat="1" customHeight="1" ht="18.75">
      <c r="A30" s="1432"/>
      <c r="B30" s="1432"/>
      <c r="C30" s="1432"/>
      <c r="D30" s="1432"/>
      <c r="E30" s="1432"/>
      <c r="F30" s="1432"/>
      <c r="G30" s="1432"/>
      <c r="H30" s="1432"/>
      <c r="I30" s="1432"/>
      <c r="J30" s="1432"/>
      <c r="K30" s="1432"/>
      <c r="L30" s="1433"/>
      <c r="M30" s="1432"/>
      <c r="N30" s="1432"/>
      <c r="O30" s="1432"/>
      <c r="S30" s="2314" t="s">
        <v>425</v>
      </c>
      <c r="T30" s="2314"/>
      <c r="U30" s="1436"/>
      <c r="V30" s="2328" t="str">
        <f>IF(TITLE_DATE_PR_CHANGE="",IF(TITLE_DATE_PR="","",TITLE_DATE_PR),TITLE_DATE_PR_CHANGE)</f>
        <v>46008.48059027778</v>
      </c>
      <c r="W30" s="2328"/>
      <c r="X30" s="2328"/>
      <c r="Y30" s="2328"/>
      <c r="Z30" s="2328"/>
      <c r="AA30" s="2328"/>
      <c r="AB30" s="2328"/>
      <c r="AC30" s="390"/>
      <c r="AD30" s="2328" t="str">
        <f>IF(TITLE_DATE_PR_CHANGE="",IF(TITLE_DATE_PR="","",TITLE_DATE_PR),TITLE_DATE_PR_CHANGE)</f>
        <v>46008.48059027778</v>
      </c>
      <c r="AE30" s="2328"/>
      <c r="AF30" s="2328"/>
      <c r="AG30" s="2328"/>
      <c r="AH30" s="2328"/>
      <c r="AI30" s="2328"/>
      <c r="AJ30" s="2328"/>
      <c r="AK30" s="390"/>
      <c r="AL30" s="390"/>
      <c r="AM30" s="344"/>
      <c r="AN30" s="432"/>
      <c r="AO30" s="432"/>
      <c r="AP30" s="432"/>
      <c r="AQ30" s="432"/>
      <c r="AR30" s="432"/>
      <c r="AS30" s="482">
        <v>0</v>
      </c>
    </row>
    <row s="6011" customFormat="1" customHeight="1" ht="18.75">
      <c r="A31" s="1432"/>
      <c r="B31" s="1432"/>
      <c r="C31" s="1432"/>
      <c r="D31" s="1432"/>
      <c r="E31" s="1432"/>
      <c r="F31" s="1432"/>
      <c r="G31" s="1432"/>
      <c r="H31" s="1432"/>
      <c r="I31" s="1432"/>
      <c r="J31" s="1432"/>
      <c r="K31" s="1432"/>
      <c r="L31" s="1433"/>
      <c r="M31" s="1432"/>
      <c r="N31" s="1432"/>
      <c r="O31" s="1432"/>
      <c r="S31" s="2314" t="s">
        <v>426</v>
      </c>
      <c r="T31" s="2314"/>
      <c r="U31" s="1436"/>
      <c r="V31" s="2315" t="str">
        <f>IF(TITLE_NUMBER_PR_CHANGE="",IF(TITLE_NUMBER_PR="","",TITLE_NUMBER_PR),TITLE_NUMBER_PR_CHANGE)</f>
        <v>58</v>
      </c>
      <c r="W31" s="2315"/>
      <c r="X31" s="2315"/>
      <c r="Y31" s="2315"/>
      <c r="Z31" s="2315"/>
      <c r="AA31" s="2315"/>
      <c r="AB31" s="2315"/>
      <c r="AC31" s="390"/>
      <c r="AD31" s="2315" t="str">
        <f>IF(TITLE_NUMBER_PR_CHANGE="",IF(TITLE_NUMBER_PR="","",TITLE_NUMBER_PR),TITLE_NUMBER_PR_CHANGE)</f>
        <v>58</v>
      </c>
      <c r="AE31" s="2315"/>
      <c r="AF31" s="2315"/>
      <c r="AG31" s="2315"/>
      <c r="AH31" s="2315"/>
      <c r="AI31" s="2315"/>
      <c r="AJ31" s="2315"/>
      <c r="AK31" s="390"/>
      <c r="AL31" s="390"/>
      <c r="AM31" s="344"/>
      <c r="AN31" s="432"/>
      <c r="AO31" s="432"/>
      <c r="AP31" s="432"/>
      <c r="AQ31" s="432"/>
      <c r="AR31" s="432"/>
      <c r="AS31" s="482">
        <v>0</v>
      </c>
    </row>
    <row s="601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http://pravo.gov.ru</v>
      </c>
      <c r="W32" s="2315"/>
      <c r="X32" s="2315"/>
      <c r="Y32" s="2315"/>
      <c r="Z32" s="2315"/>
      <c r="AA32" s="2315"/>
      <c r="AB32" s="2315"/>
      <c r="AC32" s="390"/>
      <c r="AD32" s="2315" t="str">
        <f>IF(TITLE_IST_PUB_CHANGE="",IF(TITLE_IST_PUB="","",TITLE_IST_PUB),TITLE_IST_PUB_CHANGE)</f>
        <v>http://pravo.gov.ru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6011" customFormat="1" customHeight="1" ht="18.75" hidden="1">
      <c r="A34" s="1432"/>
      <c r="B34" s="1432"/>
      <c r="C34" s="1432"/>
      <c r="D34" s="1432"/>
      <c r="E34" s="1432"/>
      <c r="F34" s="1432"/>
      <c r="G34" s="1432"/>
      <c r="H34" s="1432"/>
      <c r="I34" s="1432"/>
      <c r="J34" s="1432"/>
      <c r="K34" s="1432"/>
      <c r="L34" s="1433"/>
      <c r="M34" s="1432"/>
      <c r="N34" s="1432"/>
      <c r="O34" s="1432"/>
      <c r="S34" s="2314" t="s">
        <v>427</v>
      </c>
      <c r="T34" s="2314"/>
      <c r="U34" s="1436"/>
      <c r="V34" s="2328" t="str">
        <f>IF(TITLE_DATE_PR_CHANGE="",IF(TITLE_DATE_PR="","",TITLE_DATE_PR),TITLE_DATE_PR_CHANGE)</f>
        <v>46008.48059027778</v>
      </c>
      <c r="W34" s="2328"/>
      <c r="X34" s="2328"/>
      <c r="Y34" s="2328"/>
      <c r="Z34" s="2328"/>
      <c r="AA34" s="2328"/>
      <c r="AB34" s="2328"/>
      <c r="AC34" s="390"/>
      <c r="AD34" s="2328" t="str">
        <f>IF(TITLE_DATE_PR_CHANGE="",IF(TITLE_DATE_PR="","",TITLE_DATE_PR),TITLE_DATE_PR_CHANGE)</f>
        <v>46008.48059027778</v>
      </c>
      <c r="AE34" s="2328"/>
      <c r="AF34" s="2328"/>
      <c r="AG34" s="2328"/>
      <c r="AH34" s="2328"/>
      <c r="AI34" s="2328"/>
      <c r="AJ34" s="2328"/>
      <c r="AK34" s="390"/>
      <c r="AL34" s="390"/>
      <c r="AM34" s="344"/>
      <c r="AN34" s="432"/>
      <c r="AO34" s="432"/>
      <c r="AP34" s="432"/>
      <c r="AQ34" s="432"/>
      <c r="AR34" s="432"/>
      <c r="AS34" s="482">
        <v>0</v>
      </c>
    </row>
    <row s="6011" customFormat="1" customHeight="1" ht="18.75" hidden="1">
      <c r="A35" s="1432"/>
      <c r="B35" s="1432"/>
      <c r="C35" s="1432"/>
      <c r="D35" s="1432"/>
      <c r="E35" s="1432"/>
      <c r="F35" s="1432"/>
      <c r="G35" s="1432"/>
      <c r="H35" s="1432"/>
      <c r="I35" s="1432"/>
      <c r="J35" s="1432"/>
      <c r="K35" s="1432"/>
      <c r="L35" s="1433"/>
      <c r="M35" s="1432"/>
      <c r="N35" s="1432"/>
      <c r="O35" s="1432"/>
      <c r="S35" s="2314" t="s">
        <v>428</v>
      </c>
      <c r="T35" s="2314"/>
      <c r="U35" s="1436"/>
      <c r="V35" s="2315" t="str">
        <f>IF(TITLE_NUMBER_PR_CHANGE="",IF(TITLE_NUMBER_PR="","",TITLE_NUMBER_PR),TITLE_NUMBER_PR_CHANGE)</f>
        <v>58</v>
      </c>
      <c r="W35" s="2315"/>
      <c r="X35" s="2315"/>
      <c r="Y35" s="2315"/>
      <c r="Z35" s="2315"/>
      <c r="AA35" s="2315"/>
      <c r="AB35" s="2315"/>
      <c r="AC35" s="390"/>
      <c r="AD35" s="2315" t="str">
        <f>IF(TITLE_NUMBER_PR_CHANGE="",IF(TITLE_NUMBER_PR="","",TITLE_NUMBER_PR),TITLE_NUMBER_PR_CHANGE)</f>
        <v>58</v>
      </c>
      <c r="AE35" s="2315"/>
      <c r="AF35" s="2315"/>
      <c r="AG35" s="2315"/>
      <c r="AH35" s="2315"/>
      <c r="AI35" s="2315"/>
      <c r="AJ35" s="2315"/>
      <c r="AK35" s="390"/>
      <c r="AL35" s="390"/>
      <c r="AM35" s="344"/>
      <c r="AN35" s="432"/>
      <c r="AO35" s="432"/>
      <c r="AP35" s="432"/>
      <c r="AQ35" s="432"/>
      <c r="AR35" s="432"/>
      <c r="AS35" s="482">
        <v>0</v>
      </c>
    </row>
    <row s="601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429</v>
      </c>
      <c r="AD36" s="390"/>
      <c r="AE36" s="390"/>
      <c r="AF36" s="390"/>
      <c r="AG36" s="390"/>
      <c r="AH36" s="390"/>
      <c r="AI36" s="390"/>
      <c r="AJ36" s="390"/>
      <c r="AK36" s="342" t="s">
        <v>429</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89</v>
      </c>
      <c r="T39" s="2273" t="s">
        <v>430</v>
      </c>
      <c r="U39" s="365"/>
      <c r="V39" s="2338" t="s">
        <v>431</v>
      </c>
      <c r="W39" s="2339"/>
      <c r="X39" s="2339"/>
      <c r="Y39" s="2339"/>
      <c r="Z39" s="2339"/>
      <c r="AA39" s="2339"/>
      <c r="AB39" s="2340"/>
      <c r="AC39" s="2341" t="s">
        <v>432</v>
      </c>
      <c r="AD39" s="2338" t="s">
        <v>431</v>
      </c>
      <c r="AE39" s="2339"/>
      <c r="AF39" s="2339"/>
      <c r="AG39" s="2339"/>
      <c r="AH39" s="2339"/>
      <c r="AI39" s="2339"/>
      <c r="AJ39" s="2340"/>
      <c r="AK39" s="2341" t="s">
        <v>433</v>
      </c>
      <c r="AL39" s="2344" t="s">
        <v>434</v>
      </c>
      <c r="AM39" s="2191"/>
      <c r="AS39" s="1219">
        <v>14</v>
      </c>
    </row>
    <row customHeight="1" ht="35.699999999999996">
      <c r="Q40" s="440"/>
      <c r="R40" s="440"/>
      <c r="S40" s="2337"/>
      <c r="T40" s="2273"/>
      <c r="U40" s="1095"/>
      <c r="V40" s="2324" t="s">
        <v>435</v>
      </c>
      <c r="W40" s="2347"/>
      <c r="X40" s="2326" t="s">
        <v>437</v>
      </c>
      <c r="Y40" s="2327"/>
      <c r="Z40" s="2326" t="s">
        <v>438</v>
      </c>
      <c r="AA40" s="2333"/>
      <c r="AB40" s="2327"/>
      <c r="AC40" s="2342"/>
      <c r="AD40" s="2324" t="s">
        <v>451</v>
      </c>
      <c r="AE40" s="2347"/>
      <c r="AF40" s="2326" t="s">
        <v>437</v>
      </c>
      <c r="AG40" s="2327"/>
      <c r="AH40" s="2326" t="s">
        <v>438</v>
      </c>
      <c r="AI40" s="2333"/>
      <c r="AJ40" s="2327"/>
      <c r="AK40" s="2342"/>
      <c r="AL40" s="2345"/>
      <c r="AM40" s="2191"/>
      <c r="AS40" s="1219">
        <v>34</v>
      </c>
    </row>
    <row customHeight="1" ht="35.699999999999996">
      <c r="A41" s="1434"/>
      <c r="B41" s="1434" t="s">
        <v>136</v>
      </c>
      <c r="C41" s="1434" t="s">
        <v>137</v>
      </c>
      <c r="D41" s="1434" t="s">
        <v>138</v>
      </c>
      <c r="E41" s="1428" t="s">
        <v>439</v>
      </c>
      <c r="F41" s="1428" t="s">
        <v>440</v>
      </c>
      <c r="G41" s="1428" t="s">
        <v>441</v>
      </c>
      <c r="H41" s="1428" t="s">
        <v>442</v>
      </c>
      <c r="I41" s="1428" t="s">
        <v>443</v>
      </c>
      <c r="J41" s="1428" t="s">
        <v>444</v>
      </c>
      <c r="K41" s="1428" t="s">
        <v>445</v>
      </c>
      <c r="L41" s="1428" t="s">
        <v>420</v>
      </c>
      <c r="Q41" s="440"/>
      <c r="R41" s="440"/>
      <c r="S41" s="2337"/>
      <c r="T41" s="2273"/>
      <c r="U41" s="366"/>
      <c r="V41" s="2325"/>
      <c r="W41" s="2348"/>
      <c r="X41" s="1286" t="s">
        <v>446</v>
      </c>
      <c r="Y41" s="1286" t="s">
        <v>447</v>
      </c>
      <c r="Z41" s="1402" t="s">
        <v>448</v>
      </c>
      <c r="AA41" s="2334" t="s">
        <v>449</v>
      </c>
      <c r="AB41" s="2335"/>
      <c r="AC41" s="2343"/>
      <c r="AD41" s="2325"/>
      <c r="AE41" s="2348"/>
      <c r="AF41" s="1286" t="s">
        <v>446</v>
      </c>
      <c r="AG41" s="1286" t="s">
        <v>447</v>
      </c>
      <c r="AH41" s="1402" t="s">
        <v>448</v>
      </c>
      <c r="AI41" s="2334" t="s">
        <v>449</v>
      </c>
      <c r="AJ41" s="2335"/>
      <c r="AK41" s="2343"/>
      <c r="AL41" s="2346"/>
      <c r="AM41" s="2191"/>
      <c r="AS41" s="1219">
        <v>34</v>
      </c>
    </row>
    <row s="371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124</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169</v>
      </c>
      <c r="B44" s="1427" t="s">
        <v>170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169</v>
      </c>
      <c r="B45" s="1427" t="s">
        <v>170</v>
      </c>
      <c r="C45" s="1427" t="s">
        <v>171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169</v>
      </c>
      <c r="B46" s="1427" t="s">
        <v>170</v>
      </c>
      <c r="C46" s="1427" t="s">
        <v>171</v>
      </c>
      <c r="D46" s="1427" t="s">
        <v>172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976" customFormat="1" customHeight="1" ht="0">
      <c r="A47" s="1407" t="s">
        <v>169</v>
      </c>
      <c r="B47" s="1407" t="s">
        <v>170</v>
      </c>
      <c r="C47" s="1407" t="s">
        <v>171</v>
      </c>
      <c r="D47" s="1407" t="s">
        <v>172</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169</v>
      </c>
      <c r="B48" s="1427" t="s">
        <v>170</v>
      </c>
      <c r="C48" s="1427" t="s">
        <v>171</v>
      </c>
      <c r="D48" s="1427" t="s">
        <v>172</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169</v>
      </c>
      <c r="B49" s="1427" t="s">
        <v>170</v>
      </c>
      <c r="C49" s="1427" t="s">
        <v>171</v>
      </c>
      <c r="D49" s="1427" t="s">
        <v>172</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62</v>
      </c>
      <c r="AB49" s="2329"/>
      <c r="AC49" s="2171" t="s">
        <v>62</v>
      </c>
      <c r="AD49" s="815"/>
      <c r="AE49" s="389"/>
      <c r="AF49" s="815"/>
      <c r="AG49" s="1321"/>
      <c r="AH49" s="2329"/>
      <c r="AI49" s="2171" t="s">
        <v>62</v>
      </c>
      <c r="AJ49" s="2351"/>
      <c r="AK49" s="2171" t="s">
        <v>62</v>
      </c>
      <c r="AL49" s="1412"/>
      <c r="AM49" s="2317" t="s">
        <v>452</v>
      </c>
      <c r="AN49" s="575">
        <f>STRCHECKDATE(V50:AL50)</f>
      </c>
      <c r="AO49" s="564"/>
      <c r="AP49" s="564" t="str">
        <f>IF(T49="","",T49)</f>
        <v/>
      </c>
      <c r="AQ49" s="564"/>
      <c r="AR49" s="564"/>
      <c r="AS49" s="1219">
        <v>21</v>
      </c>
    </row>
    <row customHeight="1" ht="1.05">
      <c r="A50" s="1427" t="s">
        <v>169</v>
      </c>
      <c r="B50" s="1427" t="s">
        <v>170</v>
      </c>
      <c r="C50" s="1427" t="s">
        <v>171</v>
      </c>
      <c r="D50" s="1427" t="s">
        <v>172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169</v>
      </c>
      <c r="B51" s="1427" t="s">
        <v>170</v>
      </c>
      <c r="C51" s="1427" t="s">
        <v>171</v>
      </c>
      <c r="D51" s="1427" t="s">
        <v>172</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169</v>
      </c>
      <c r="B52" s="1427" t="s">
        <v>170</v>
      </c>
      <c r="C52" s="1427" t="s">
        <v>171</v>
      </c>
      <c r="D52" s="1427" t="s">
        <v>172</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169</v>
      </c>
      <c r="B53" s="1427" t="s">
        <v>170</v>
      </c>
      <c r="C53" s="1427" t="s">
        <v>171</v>
      </c>
      <c r="D53" s="1427" t="s">
        <v>172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976" customFormat="1" customHeight="1" ht="1.05">
      <c r="A54" s="1407" t="s">
        <v>169</v>
      </c>
      <c r="B54" s="1407" t="s">
        <v>170</v>
      </c>
      <c r="C54" s="1407" t="s">
        <v>171</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976" customFormat="1" customHeight="1" ht="1.05">
      <c r="A55" s="1407" t="s">
        <v>169</v>
      </c>
      <c r="B55" s="1407" t="s">
        <v>170</v>
      </c>
      <c r="C55" s="1378"/>
      <c r="D55" s="1378"/>
      <c r="E55" s="2323"/>
      <c r="F55" s="2322"/>
      <c r="G55" s="1378"/>
      <c r="H55" s="1378"/>
      <c r="I55" s="1378"/>
      <c r="J55" s="1378"/>
      <c r="K55" s="1378"/>
      <c r="L55" s="1403"/>
      <c r="M55" s="1385"/>
      <c r="N55" s="1385"/>
      <c r="P55" s="1380"/>
      <c r="Q55" s="1381"/>
      <c r="R55" s="1380"/>
      <c r="S55" s="1386"/>
      <c r="T55" s="1389" t="s">
        <v>255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976" customFormat="1" customHeight="1" ht="1.05">
      <c r="A56" s="1407" t="s">
        <v>169</v>
      </c>
      <c r="B56" s="1407"/>
      <c r="C56" s="1407"/>
      <c r="D56" s="1407"/>
      <c r="E56" s="2322"/>
      <c r="F56" s="1407"/>
      <c r="G56" s="1407"/>
      <c r="H56" s="1407"/>
      <c r="I56" s="1407"/>
      <c r="J56" s="1407"/>
      <c r="K56" s="1407"/>
      <c r="L56" s="1410"/>
      <c r="M56" s="1385"/>
      <c r="N56" s="1385"/>
      <c r="O56" s="582"/>
      <c r="P56" s="444"/>
      <c r="Q56" s="1408"/>
      <c r="R56" s="444"/>
      <c r="S56" s="1386"/>
      <c r="T56" s="1389" t="s">
        <v>256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976"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257</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83</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7E538-C694-2E7F-DC71-0.C1A2BE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6151" width="3.7109375" hidden="1" customWidth="1"/>
    <col min="17" max="18" style="5437" width="3.00390625" customWidth="1"/>
    <col min="19" max="19" style="6125" width="12.00390625" customWidth="1"/>
    <col min="20" max="20" style="5468" width="31.00390625" customWidth="1"/>
    <col min="21" max="21" style="5468" width="0.140625" customWidth="1"/>
    <col min="22" max="22" style="5468" width="24.7109375" hidden="1" customWidth="1"/>
    <col min="23" max="23" style="5468" width="0.140625" hidden="1" customWidth="1"/>
    <col min="24" max="25" style="5468" width="24.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24.7109375" customWidth="1"/>
    <col min="31" max="31" style="5468" width="0.140625" customWidth="1"/>
    <col min="32" max="33" style="5468" width="24.00390625" customWidth="1"/>
    <col min="34" max="34" style="5468" width="11.00390625" customWidth="1"/>
    <col min="35" max="35" style="5468" width="3.7109375" customWidth="1"/>
    <col min="36" max="36" style="5468" width="11.00390625" customWidth="1"/>
    <col min="37" max="37" style="5468" width="8.57421875" hidden="1" customWidth="1"/>
    <col min="38" max="38" style="5468" width="4.00390625" customWidth="1"/>
    <col min="39" max="39" style="5468" width="115.00390625" customWidth="1"/>
    <col min="40" max="44" style="4976" width="10.00390625" customWidth="1"/>
    <col min="45" max="45" style="546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124</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403</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405</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406</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407</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410</v>
      </c>
      <c r="M7" s="601"/>
      <c r="N7" s="1430"/>
      <c r="P7" s="2321"/>
      <c r="Q7" s="2321">
        <v>1</v>
      </c>
      <c r="R7" s="1706"/>
      <c r="S7" s="2071">
        <f>$J7</f>
      </c>
      <c r="T7" s="350" t="s">
        <v>411</v>
      </c>
      <c r="U7" s="364"/>
      <c r="V7" s="2369"/>
      <c r="W7" s="2369"/>
      <c r="X7" s="2369"/>
      <c r="Y7" s="2369"/>
      <c r="Z7" s="2369"/>
      <c r="AA7" s="2369"/>
      <c r="AB7" s="2369"/>
      <c r="AC7" s="2369"/>
      <c r="AD7" s="2369"/>
      <c r="AE7" s="2369"/>
      <c r="AF7" s="2369"/>
      <c r="AG7" s="2369"/>
      <c r="AH7" s="2369"/>
      <c r="AI7" s="2369"/>
      <c r="AJ7" s="2369"/>
      <c r="AK7" s="2369"/>
      <c r="AL7" s="2369"/>
      <c r="AM7" s="2074" t="s">
        <v>412</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413</v>
      </c>
      <c r="M8" s="601"/>
      <c r="N8" s="1430"/>
      <c r="O8" s="1430"/>
      <c r="P8" s="2321"/>
      <c r="Q8" s="2321"/>
      <c r="R8" s="421">
        <v>1</v>
      </c>
      <c r="S8" s="2073">
        <f>$K8</f>
      </c>
      <c r="T8" s="2078"/>
      <c r="U8" s="2079"/>
      <c r="V8" s="2080"/>
      <c r="W8" s="1413"/>
      <c r="X8" s="2080"/>
      <c r="Y8" s="2081"/>
      <c r="Z8" s="2370"/>
      <c r="AA8" s="2176" t="s">
        <v>62</v>
      </c>
      <c r="AB8" s="2370"/>
      <c r="AC8" s="2176" t="s">
        <v>62</v>
      </c>
      <c r="AD8" s="2080"/>
      <c r="AE8" s="1413"/>
      <c r="AF8" s="2080"/>
      <c r="AG8" s="2081"/>
      <c r="AH8" s="2370"/>
      <c r="AI8" s="2176" t="s">
        <v>62</v>
      </c>
      <c r="AJ8" s="2370"/>
      <c r="AK8" s="2176" t="s">
        <v>62</v>
      </c>
      <c r="AL8" s="1413"/>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976"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976"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255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976"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256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62</v>
      </c>
      <c r="AJ17" s="2331"/>
      <c r="AK17" s="2332" t="s">
        <v>62</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416" customFormat="1" customHeight="1" ht="22.5" hidden="1">
      <c r="L20" s="1393"/>
      <c r="M20" s="1426"/>
      <c r="N20" s="1426"/>
      <c r="O20" s="1431" t="s">
        <v>419</v>
      </c>
      <c r="P20" s="1426"/>
      <c r="Q20" s="1435"/>
      <c r="R20" s="1435"/>
      <c r="S20" s="793"/>
      <c r="Z20" s="1431"/>
      <c r="AB20" s="1431"/>
      <c r="AC20" s="1430"/>
      <c r="AH20" s="1431"/>
      <c r="AJ20" s="1431"/>
      <c r="AK20" s="1430"/>
      <c r="AN20" s="575"/>
      <c r="AO20" s="575"/>
      <c r="AP20" s="575"/>
      <c r="AQ20" s="575"/>
      <c r="AR20" s="575"/>
      <c r="AS20" s="1224">
        <v>0</v>
      </c>
    </row>
    <row s="5416" customFormat="1" customHeight="1" ht="14.25" hidden="1">
      <c r="L21" s="1393"/>
      <c r="M21" s="1426"/>
      <c r="N21" s="1426"/>
      <c r="O21" s="1426"/>
      <c r="P21" s="1426"/>
      <c r="Q21" s="1435"/>
      <c r="R21" s="1435"/>
      <c r="S21" s="793"/>
      <c r="AC21" s="1430"/>
      <c r="AK21" s="1430"/>
      <c r="AN21" s="575"/>
      <c r="AO21" s="575"/>
      <c r="AP21" s="575"/>
      <c r="AQ21" s="575"/>
      <c r="AR21" s="575"/>
      <c r="AS21" s="1224">
        <v>0</v>
      </c>
    </row>
    <row s="5416" customFormat="1" customHeight="1" ht="14.25" hidden="1">
      <c r="L22" s="1393"/>
      <c r="M22" s="1426"/>
      <c r="N22" s="1426"/>
      <c r="O22" s="1428" t="s">
        <v>420</v>
      </c>
      <c r="P22" s="1426"/>
      <c r="Q22" s="1435"/>
      <c r="R22" s="1435"/>
      <c r="S22" s="793"/>
      <c r="T22" s="1224" t="s">
        <v>421</v>
      </c>
      <c r="AA22" s="250" t="s">
        <v>422</v>
      </c>
      <c r="AC22" s="250" t="s">
        <v>423</v>
      </c>
      <c r="AD22" s="1224" t="s">
        <v>421</v>
      </c>
      <c r="AI22" s="250" t="s">
        <v>424</v>
      </c>
      <c r="AK22" s="250" t="s">
        <v>423</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Нарьян-Марское МУ ПОКиТС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601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УГРЦТ НАО</v>
      </c>
      <c r="W29" s="2315"/>
      <c r="X29" s="2315"/>
      <c r="Y29" s="2315"/>
      <c r="Z29" s="2315"/>
      <c r="AA29" s="2315"/>
      <c r="AB29" s="2315"/>
      <c r="AC29" s="390"/>
      <c r="AD29" s="2315" t="str">
        <f>IF(TITLE_NAME_OR_PR_CHANGE="",IF(TITLE_NAME_OR_PR="","",TITLE_NAME_OR_PR),TITLE_NAME_OR_PR_CHANGE)</f>
        <v>УГРЦТ НАО</v>
      </c>
      <c r="AE29" s="2315"/>
      <c r="AF29" s="2315"/>
      <c r="AG29" s="2315"/>
      <c r="AH29" s="2315"/>
      <c r="AI29" s="2315"/>
      <c r="AJ29" s="2315"/>
      <c r="AK29" s="390"/>
      <c r="AL29" s="390"/>
      <c r="AM29" s="344"/>
      <c r="AN29" s="432"/>
      <c r="AO29" s="432"/>
      <c r="AP29" s="432"/>
      <c r="AQ29" s="432"/>
      <c r="AR29" s="432"/>
      <c r="AS29" s="482">
        <v>0</v>
      </c>
    </row>
    <row s="6011" customFormat="1" customHeight="1" ht="18.75">
      <c r="A30" s="1432"/>
      <c r="B30" s="1432"/>
      <c r="C30" s="1432"/>
      <c r="D30" s="1432"/>
      <c r="E30" s="1432"/>
      <c r="F30" s="1432"/>
      <c r="G30" s="1432"/>
      <c r="H30" s="1432"/>
      <c r="I30" s="1432"/>
      <c r="J30" s="1432"/>
      <c r="K30" s="1432"/>
      <c r="L30" s="1433"/>
      <c r="M30" s="1432"/>
      <c r="N30" s="1432"/>
      <c r="O30" s="1432"/>
      <c r="S30" s="2314" t="s">
        <v>425</v>
      </c>
      <c r="T30" s="2314"/>
      <c r="U30" s="1436"/>
      <c r="V30" s="2328" t="str">
        <f>IF(TITLE_DATE_PR_CHANGE="",IF(TITLE_DATE_PR="","",TITLE_DATE_PR),TITLE_DATE_PR_CHANGE)</f>
        <v>46008.48059027778</v>
      </c>
      <c r="W30" s="2328"/>
      <c r="X30" s="2328"/>
      <c r="Y30" s="2328"/>
      <c r="Z30" s="2328"/>
      <c r="AA30" s="2328"/>
      <c r="AB30" s="2328"/>
      <c r="AC30" s="390"/>
      <c r="AD30" s="2328" t="str">
        <f>IF(TITLE_DATE_PR_CHANGE="",IF(TITLE_DATE_PR="","",TITLE_DATE_PR),TITLE_DATE_PR_CHANGE)</f>
        <v>46008.48059027778</v>
      </c>
      <c r="AE30" s="2328"/>
      <c r="AF30" s="2328"/>
      <c r="AG30" s="2328"/>
      <c r="AH30" s="2328"/>
      <c r="AI30" s="2328"/>
      <c r="AJ30" s="2328"/>
      <c r="AK30" s="390"/>
      <c r="AL30" s="390"/>
      <c r="AM30" s="344"/>
      <c r="AN30" s="432"/>
      <c r="AO30" s="432"/>
      <c r="AP30" s="432"/>
      <c r="AQ30" s="432"/>
      <c r="AR30" s="432"/>
      <c r="AS30" s="482">
        <v>0</v>
      </c>
    </row>
    <row s="6011" customFormat="1" customHeight="1" ht="18.75">
      <c r="A31" s="1432"/>
      <c r="B31" s="1432"/>
      <c r="C31" s="1432"/>
      <c r="D31" s="1432"/>
      <c r="E31" s="1432"/>
      <c r="F31" s="1432"/>
      <c r="G31" s="1432"/>
      <c r="H31" s="1432"/>
      <c r="I31" s="1432"/>
      <c r="J31" s="1432"/>
      <c r="K31" s="1432"/>
      <c r="L31" s="1433"/>
      <c r="M31" s="1432"/>
      <c r="N31" s="1432"/>
      <c r="O31" s="1432"/>
      <c r="S31" s="2314" t="s">
        <v>426</v>
      </c>
      <c r="T31" s="2314"/>
      <c r="U31" s="1436"/>
      <c r="V31" s="2315" t="str">
        <f>IF(TITLE_NUMBER_PR_CHANGE="",IF(TITLE_NUMBER_PR="","",TITLE_NUMBER_PR),TITLE_NUMBER_PR_CHANGE)</f>
        <v>58</v>
      </c>
      <c r="W31" s="2315"/>
      <c r="X31" s="2315"/>
      <c r="Y31" s="2315"/>
      <c r="Z31" s="2315"/>
      <c r="AA31" s="2315"/>
      <c r="AB31" s="2315"/>
      <c r="AC31" s="390"/>
      <c r="AD31" s="2315" t="str">
        <f>IF(TITLE_NUMBER_PR_CHANGE="",IF(TITLE_NUMBER_PR="","",TITLE_NUMBER_PR),TITLE_NUMBER_PR_CHANGE)</f>
        <v>58</v>
      </c>
      <c r="AE31" s="2315"/>
      <c r="AF31" s="2315"/>
      <c r="AG31" s="2315"/>
      <c r="AH31" s="2315"/>
      <c r="AI31" s="2315"/>
      <c r="AJ31" s="2315"/>
      <c r="AK31" s="390"/>
      <c r="AL31" s="390"/>
      <c r="AM31" s="344"/>
      <c r="AN31" s="432"/>
      <c r="AO31" s="432"/>
      <c r="AP31" s="432"/>
      <c r="AQ31" s="432"/>
      <c r="AR31" s="432"/>
      <c r="AS31" s="482">
        <v>0</v>
      </c>
    </row>
    <row s="601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http://pravo.gov.ru</v>
      </c>
      <c r="W32" s="2315"/>
      <c r="X32" s="2315"/>
      <c r="Y32" s="2315"/>
      <c r="Z32" s="2315"/>
      <c r="AA32" s="2315"/>
      <c r="AB32" s="2315"/>
      <c r="AC32" s="390"/>
      <c r="AD32" s="2315" t="str">
        <f>IF(TITLE_IST_PUB_CHANGE="",IF(TITLE_IST_PUB="","",TITLE_IST_PUB),TITLE_IST_PUB_CHANGE)</f>
        <v>http://pravo.gov.ru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6011" customFormat="1" customHeight="1" ht="18.75" hidden="1">
      <c r="A34" s="1432"/>
      <c r="B34" s="1432"/>
      <c r="C34" s="1432"/>
      <c r="D34" s="1432"/>
      <c r="E34" s="1432"/>
      <c r="F34" s="1432"/>
      <c r="G34" s="1432"/>
      <c r="H34" s="1432"/>
      <c r="I34" s="1432"/>
      <c r="J34" s="1432"/>
      <c r="K34" s="1432"/>
      <c r="L34" s="1433"/>
      <c r="M34" s="1432"/>
      <c r="N34" s="1432"/>
      <c r="O34" s="1432"/>
      <c r="S34" s="2314" t="s">
        <v>427</v>
      </c>
      <c r="T34" s="2314"/>
      <c r="U34" s="1436"/>
      <c r="V34" s="2328" t="str">
        <f>IF(TITLE_DATE_PR_CHANGE="",IF(TITLE_DATE_PR="","",TITLE_DATE_PR),TITLE_DATE_PR_CHANGE)</f>
        <v>46008.48059027778</v>
      </c>
      <c r="W34" s="2328"/>
      <c r="X34" s="2328"/>
      <c r="Y34" s="2328"/>
      <c r="Z34" s="2328"/>
      <c r="AA34" s="2328"/>
      <c r="AB34" s="2328"/>
      <c r="AC34" s="390"/>
      <c r="AD34" s="2328" t="str">
        <f>IF(TITLE_DATE_PR_CHANGE="",IF(TITLE_DATE_PR="","",TITLE_DATE_PR),TITLE_DATE_PR_CHANGE)</f>
        <v>46008.48059027778</v>
      </c>
      <c r="AE34" s="2328"/>
      <c r="AF34" s="2328"/>
      <c r="AG34" s="2328"/>
      <c r="AH34" s="2328"/>
      <c r="AI34" s="2328"/>
      <c r="AJ34" s="2328"/>
      <c r="AK34" s="390"/>
      <c r="AL34" s="390"/>
      <c r="AM34" s="344"/>
      <c r="AN34" s="432"/>
      <c r="AO34" s="432"/>
      <c r="AP34" s="432"/>
      <c r="AQ34" s="432"/>
      <c r="AR34" s="432"/>
      <c r="AS34" s="482">
        <v>0</v>
      </c>
    </row>
    <row s="6011" customFormat="1" customHeight="1" ht="18.75" hidden="1">
      <c r="A35" s="1432"/>
      <c r="B35" s="1432"/>
      <c r="C35" s="1432"/>
      <c r="D35" s="1432"/>
      <c r="E35" s="1432"/>
      <c r="F35" s="1432"/>
      <c r="G35" s="1432"/>
      <c r="H35" s="1432"/>
      <c r="I35" s="1432"/>
      <c r="J35" s="1432"/>
      <c r="K35" s="1432"/>
      <c r="L35" s="1433"/>
      <c r="M35" s="1432"/>
      <c r="N35" s="1432"/>
      <c r="O35" s="1432"/>
      <c r="S35" s="2314" t="s">
        <v>428</v>
      </c>
      <c r="T35" s="2314"/>
      <c r="U35" s="1436"/>
      <c r="V35" s="2315" t="str">
        <f>IF(TITLE_NUMBER_PR_CHANGE="",IF(TITLE_NUMBER_PR="","",TITLE_NUMBER_PR),TITLE_NUMBER_PR_CHANGE)</f>
        <v>58</v>
      </c>
      <c r="W35" s="2315"/>
      <c r="X35" s="2315"/>
      <c r="Y35" s="2315"/>
      <c r="Z35" s="2315"/>
      <c r="AA35" s="2315"/>
      <c r="AB35" s="2315"/>
      <c r="AC35" s="390"/>
      <c r="AD35" s="2315" t="str">
        <f>IF(TITLE_NUMBER_PR_CHANGE="",IF(TITLE_NUMBER_PR="","",TITLE_NUMBER_PR),TITLE_NUMBER_PR_CHANGE)</f>
        <v>58</v>
      </c>
      <c r="AE35" s="2315"/>
      <c r="AF35" s="2315"/>
      <c r="AG35" s="2315"/>
      <c r="AH35" s="2315"/>
      <c r="AI35" s="2315"/>
      <c r="AJ35" s="2315"/>
      <c r="AK35" s="390"/>
      <c r="AL35" s="390"/>
      <c r="AM35" s="344"/>
      <c r="AN35" s="432"/>
      <c r="AO35" s="432"/>
      <c r="AP35" s="432"/>
      <c r="AQ35" s="432"/>
      <c r="AR35" s="432"/>
      <c r="AS35" s="482">
        <v>0</v>
      </c>
    </row>
    <row s="601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429</v>
      </c>
      <c r="AD36" s="390"/>
      <c r="AE36" s="390"/>
      <c r="AF36" s="390"/>
      <c r="AG36" s="390"/>
      <c r="AH36" s="390"/>
      <c r="AI36" s="390"/>
      <c r="AJ36" s="390"/>
      <c r="AK36" s="342" t="s">
        <v>429</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89</v>
      </c>
      <c r="T39" s="2273" t="s">
        <v>430</v>
      </c>
      <c r="U39" s="365"/>
      <c r="V39" s="2338" t="s">
        <v>431</v>
      </c>
      <c r="W39" s="2339"/>
      <c r="X39" s="2339"/>
      <c r="Y39" s="2339"/>
      <c r="Z39" s="2339"/>
      <c r="AA39" s="2339"/>
      <c r="AB39" s="2340"/>
      <c r="AC39" s="2341" t="s">
        <v>432</v>
      </c>
      <c r="AD39" s="2338" t="s">
        <v>431</v>
      </c>
      <c r="AE39" s="2339"/>
      <c r="AF39" s="2339"/>
      <c r="AG39" s="2339"/>
      <c r="AH39" s="2339"/>
      <c r="AI39" s="2339"/>
      <c r="AJ39" s="2340"/>
      <c r="AK39" s="2341" t="s">
        <v>433</v>
      </c>
      <c r="AL39" s="2344" t="s">
        <v>434</v>
      </c>
      <c r="AM39" s="2191"/>
      <c r="AS39" s="1219">
        <v>14</v>
      </c>
    </row>
    <row customHeight="1" ht="35.699999999999996">
      <c r="Q40" s="440"/>
      <c r="R40" s="440"/>
      <c r="S40" s="2337"/>
      <c r="T40" s="2273"/>
      <c r="U40" s="1095"/>
      <c r="V40" s="2324" t="s">
        <v>435</v>
      </c>
      <c r="W40" s="2347"/>
      <c r="X40" s="2326" t="s">
        <v>437</v>
      </c>
      <c r="Y40" s="2327"/>
      <c r="Z40" s="2326" t="s">
        <v>438</v>
      </c>
      <c r="AA40" s="2333"/>
      <c r="AB40" s="2327"/>
      <c r="AC40" s="2342"/>
      <c r="AD40" s="2324" t="s">
        <v>451</v>
      </c>
      <c r="AE40" s="2347"/>
      <c r="AF40" s="2326" t="s">
        <v>437</v>
      </c>
      <c r="AG40" s="2327"/>
      <c r="AH40" s="2326" t="s">
        <v>438</v>
      </c>
      <c r="AI40" s="2333"/>
      <c r="AJ40" s="2327"/>
      <c r="AK40" s="2342"/>
      <c r="AL40" s="2345"/>
      <c r="AM40" s="2191"/>
      <c r="AS40" s="1219">
        <v>34</v>
      </c>
    </row>
    <row customHeight="1" ht="35.699999999999996">
      <c r="A41" s="1434"/>
      <c r="B41" s="1434" t="s">
        <v>136</v>
      </c>
      <c r="C41" s="1434" t="s">
        <v>137</v>
      </c>
      <c r="D41" s="1434" t="s">
        <v>138</v>
      </c>
      <c r="E41" s="1428" t="s">
        <v>439</v>
      </c>
      <c r="F41" s="1428" t="s">
        <v>440</v>
      </c>
      <c r="G41" s="1428" t="s">
        <v>441</v>
      </c>
      <c r="H41" s="1428" t="s">
        <v>442</v>
      </c>
      <c r="I41" s="1428" t="s">
        <v>443</v>
      </c>
      <c r="J41" s="1428" t="s">
        <v>444</v>
      </c>
      <c r="K41" s="1428" t="s">
        <v>445</v>
      </c>
      <c r="L41" s="1428" t="s">
        <v>420</v>
      </c>
      <c r="Q41" s="440"/>
      <c r="R41" s="440"/>
      <c r="S41" s="2337"/>
      <c r="T41" s="2273"/>
      <c r="U41" s="366"/>
      <c r="V41" s="2325"/>
      <c r="W41" s="2348"/>
      <c r="X41" s="1286" t="s">
        <v>446</v>
      </c>
      <c r="Y41" s="1286" t="s">
        <v>447</v>
      </c>
      <c r="Z41" s="1402" t="s">
        <v>448</v>
      </c>
      <c r="AA41" s="2334" t="s">
        <v>449</v>
      </c>
      <c r="AB41" s="2335"/>
      <c r="AC41" s="2343"/>
      <c r="AD41" s="2325"/>
      <c r="AE41" s="2348"/>
      <c r="AF41" s="1286" t="s">
        <v>446</v>
      </c>
      <c r="AG41" s="1286" t="s">
        <v>447</v>
      </c>
      <c r="AH41" s="1402" t="s">
        <v>448</v>
      </c>
      <c r="AI41" s="2334" t="s">
        <v>449</v>
      </c>
      <c r="AJ41" s="2335"/>
      <c r="AK41" s="2343"/>
      <c r="AL41" s="2346"/>
      <c r="AM41" s="2191"/>
      <c r="AS41" s="1219">
        <v>34</v>
      </c>
    </row>
    <row s="371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124</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181</v>
      </c>
      <c r="B44" s="1427" t="s">
        <v>182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181</v>
      </c>
      <c r="B45" s="1427" t="s">
        <v>182</v>
      </c>
      <c r="C45" s="1427" t="s">
        <v>183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181</v>
      </c>
      <c r="B46" s="1427" t="s">
        <v>182</v>
      </c>
      <c r="C46" s="1427" t="s">
        <v>183</v>
      </c>
      <c r="D46" s="1427" t="s">
        <v>184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976" customFormat="1" customHeight="1" ht="0">
      <c r="A47" s="1407" t="s">
        <v>181</v>
      </c>
      <c r="B47" s="1407" t="s">
        <v>182</v>
      </c>
      <c r="C47" s="1407" t="s">
        <v>183</v>
      </c>
      <c r="D47" s="1407" t="s">
        <v>184</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181</v>
      </c>
      <c r="B48" s="1427" t="s">
        <v>182</v>
      </c>
      <c r="C48" s="1427" t="s">
        <v>183</v>
      </c>
      <c r="D48" s="1427" t="s">
        <v>184</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181</v>
      </c>
      <c r="B49" s="1427" t="s">
        <v>182</v>
      </c>
      <c r="C49" s="1427" t="s">
        <v>183</v>
      </c>
      <c r="D49" s="1427" t="s">
        <v>184</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62</v>
      </c>
      <c r="AB49" s="2329"/>
      <c r="AC49" s="2171" t="s">
        <v>62</v>
      </c>
      <c r="AD49" s="815"/>
      <c r="AE49" s="389"/>
      <c r="AF49" s="815"/>
      <c r="AG49" s="1321"/>
      <c r="AH49" s="2329"/>
      <c r="AI49" s="2171" t="s">
        <v>62</v>
      </c>
      <c r="AJ49" s="2351"/>
      <c r="AK49" s="2171" t="s">
        <v>62</v>
      </c>
      <c r="AL49" s="1412"/>
      <c r="AM49" s="2317" t="s">
        <v>452</v>
      </c>
      <c r="AN49" s="575">
        <f>STRCHECKDATE(V50:AL50)</f>
      </c>
      <c r="AO49" s="564"/>
      <c r="AP49" s="564" t="str">
        <f>IF(T49="","",T49)</f>
        <v/>
      </c>
      <c r="AQ49" s="564"/>
      <c r="AR49" s="564"/>
      <c r="AS49" s="1219">
        <v>21</v>
      </c>
    </row>
    <row customHeight="1" ht="1.05">
      <c r="A50" s="1427" t="s">
        <v>181</v>
      </c>
      <c r="B50" s="1427" t="s">
        <v>182</v>
      </c>
      <c r="C50" s="1427" t="s">
        <v>183</v>
      </c>
      <c r="D50" s="1427" t="s">
        <v>184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181</v>
      </c>
      <c r="B51" s="1427" t="s">
        <v>182</v>
      </c>
      <c r="C51" s="1427" t="s">
        <v>183</v>
      </c>
      <c r="D51" s="1427" t="s">
        <v>184</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181</v>
      </c>
      <c r="B52" s="1427" t="s">
        <v>182</v>
      </c>
      <c r="C52" s="1427" t="s">
        <v>183</v>
      </c>
      <c r="D52" s="1427" t="s">
        <v>184</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181</v>
      </c>
      <c r="B53" s="1427" t="s">
        <v>182</v>
      </c>
      <c r="C53" s="1427" t="s">
        <v>183</v>
      </c>
      <c r="D53" s="1427" t="s">
        <v>184</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976" customFormat="1" customHeight="1" ht="1.05">
      <c r="A54" s="1407" t="s">
        <v>181</v>
      </c>
      <c r="B54" s="1407" t="s">
        <v>182</v>
      </c>
      <c r="C54" s="1407" t="s">
        <v>183</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976" customFormat="1" customHeight="1" ht="1.05">
      <c r="A55" s="1407" t="s">
        <v>181</v>
      </c>
      <c r="B55" s="1407" t="s">
        <v>182</v>
      </c>
      <c r="C55" s="1378"/>
      <c r="D55" s="1378"/>
      <c r="E55" s="2323"/>
      <c r="F55" s="2322"/>
      <c r="G55" s="1378"/>
      <c r="H55" s="1378"/>
      <c r="I55" s="1378"/>
      <c r="J55" s="1378"/>
      <c r="K55" s="1378"/>
      <c r="L55" s="1403"/>
      <c r="M55" s="1385"/>
      <c r="N55" s="1385"/>
      <c r="P55" s="1380"/>
      <c r="Q55" s="1381"/>
      <c r="R55" s="1380"/>
      <c r="S55" s="1386"/>
      <c r="T55" s="1389" t="s">
        <v>255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976" customFormat="1" customHeight="1" ht="1.05">
      <c r="A56" s="1407" t="s">
        <v>181</v>
      </c>
      <c r="B56" s="1407"/>
      <c r="C56" s="1407"/>
      <c r="D56" s="1407"/>
      <c r="E56" s="2322"/>
      <c r="F56" s="1407"/>
      <c r="G56" s="1407"/>
      <c r="H56" s="1407"/>
      <c r="I56" s="1407"/>
      <c r="J56" s="1407"/>
      <c r="K56" s="1407"/>
      <c r="L56" s="1410"/>
      <c r="M56" s="1385"/>
      <c r="N56" s="1385"/>
      <c r="O56" s="582"/>
      <c r="P56" s="444"/>
      <c r="Q56" s="1408"/>
      <c r="R56" s="444"/>
      <c r="S56" s="1386"/>
      <c r="T56" s="1389" t="s">
        <v>256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976"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257</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83</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36124-9C9C-03E4-F8F9-0.18C666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6151" width="3.7109375" hidden="1" customWidth="1"/>
    <col min="17" max="18" style="5437" width="3.00390625" customWidth="1"/>
    <col min="19" max="19" style="6125" width="12.00390625" customWidth="1"/>
    <col min="20" max="20" style="5468" width="31.00390625" customWidth="1"/>
    <col min="21" max="21" style="5468" width="0.140625" customWidth="1"/>
    <col min="22" max="22" style="5468" width="24.7109375" hidden="1" customWidth="1"/>
    <col min="23" max="23" style="5468" width="0.140625" hidden="1" customWidth="1"/>
    <col min="24" max="25" style="5468" width="24.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24.7109375" customWidth="1"/>
    <col min="31" max="31" style="5468" width="0.140625" customWidth="1"/>
    <col min="32" max="33" style="5468" width="24.00390625" customWidth="1"/>
    <col min="34" max="34" style="5468" width="11.00390625" customWidth="1"/>
    <col min="35" max="35" style="5468" width="3.7109375" customWidth="1"/>
    <col min="36" max="36" style="5468" width="11.00390625" customWidth="1"/>
    <col min="37" max="37" style="5468" width="8.57421875" hidden="1" customWidth="1"/>
    <col min="38" max="38" style="5468" width="4.00390625" customWidth="1"/>
    <col min="39" max="39" style="5468" width="115.00390625" customWidth="1"/>
    <col min="40" max="44" style="4976" width="10.00390625" customWidth="1"/>
    <col min="45" max="45" style="546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124</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62</v>
      </c>
      <c r="AB8" s="2329"/>
      <c r="AC8" s="2171" t="s">
        <v>62</v>
      </c>
      <c r="AD8" s="815"/>
      <c r="AE8" s="389"/>
      <c r="AF8" s="815"/>
      <c r="AG8" s="1321"/>
      <c r="AH8" s="2329"/>
      <c r="AI8" s="2171" t="s">
        <v>62</v>
      </c>
      <c r="AJ8" s="2329"/>
      <c r="AK8" s="2171" t="s">
        <v>62</v>
      </c>
      <c r="AL8" s="389"/>
      <c r="AM8" s="2317" t="s">
        <v>414</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976"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976"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255</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976"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256</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62</v>
      </c>
      <c r="AJ17" s="2331"/>
      <c r="AK17" s="2332" t="s">
        <v>62</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416" customFormat="1" customHeight="1" ht="22.5" hidden="1">
      <c r="L20" s="1393"/>
      <c r="M20" s="1426"/>
      <c r="N20" s="1426"/>
      <c r="O20" s="1431" t="s">
        <v>419</v>
      </c>
      <c r="P20" s="1426"/>
      <c r="Q20" s="1435"/>
      <c r="R20" s="1435"/>
      <c r="S20" s="793"/>
      <c r="Z20" s="1431"/>
      <c r="AB20" s="1431"/>
      <c r="AC20" s="1430"/>
      <c r="AH20" s="1431"/>
      <c r="AJ20" s="1431"/>
      <c r="AK20" s="1430"/>
      <c r="AN20" s="575"/>
      <c r="AO20" s="575"/>
      <c r="AP20" s="575"/>
      <c r="AQ20" s="575"/>
      <c r="AR20" s="575"/>
      <c r="AS20" s="1224">
        <v>0</v>
      </c>
    </row>
    <row s="5416" customFormat="1" customHeight="1" ht="14.25" hidden="1">
      <c r="L21" s="1393"/>
      <c r="M21" s="1426"/>
      <c r="N21" s="1426"/>
      <c r="O21" s="1426"/>
      <c r="P21" s="1426"/>
      <c r="Q21" s="1435"/>
      <c r="R21" s="1435"/>
      <c r="S21" s="793"/>
      <c r="AC21" s="1430"/>
      <c r="AK21" s="1430"/>
      <c r="AN21" s="575"/>
      <c r="AO21" s="575"/>
      <c r="AP21" s="575"/>
      <c r="AQ21" s="575"/>
      <c r="AR21" s="575"/>
      <c r="AS21" s="1224">
        <v>0</v>
      </c>
    </row>
    <row s="5416" customFormat="1" customHeight="1" ht="14.25" hidden="1">
      <c r="L22" s="1393"/>
      <c r="M22" s="1426"/>
      <c r="N22" s="1426"/>
      <c r="O22" s="1428" t="s">
        <v>420</v>
      </c>
      <c r="P22" s="1426"/>
      <c r="Q22" s="1435"/>
      <c r="R22" s="1435"/>
      <c r="S22" s="793"/>
      <c r="T22" s="1224" t="s">
        <v>421</v>
      </c>
      <c r="AA22" s="250" t="s">
        <v>422</v>
      </c>
      <c r="AC22" s="250" t="s">
        <v>423</v>
      </c>
      <c r="AD22" s="1224" t="s">
        <v>421</v>
      </c>
      <c r="AI22" s="250" t="s">
        <v>424</v>
      </c>
      <c r="AK22" s="250" t="s">
        <v>423</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Нарьян-Марское МУ ПОКиТС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601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УГРЦТ НАО</v>
      </c>
      <c r="W29" s="2315"/>
      <c r="X29" s="2315"/>
      <c r="Y29" s="2315"/>
      <c r="Z29" s="2315"/>
      <c r="AA29" s="2315"/>
      <c r="AB29" s="2315"/>
      <c r="AC29" s="390"/>
      <c r="AD29" s="2315" t="str">
        <f>IF(TITLE_NAME_OR_PR_CHANGE="",IF(TITLE_NAME_OR_PR="","",TITLE_NAME_OR_PR),TITLE_NAME_OR_PR_CHANGE)</f>
        <v>УГРЦТ НАО</v>
      </c>
      <c r="AE29" s="2315"/>
      <c r="AF29" s="2315"/>
      <c r="AG29" s="2315"/>
      <c r="AH29" s="2315"/>
      <c r="AI29" s="2315"/>
      <c r="AJ29" s="2315"/>
      <c r="AK29" s="390"/>
      <c r="AL29" s="390"/>
      <c r="AM29" s="344"/>
      <c r="AN29" s="432"/>
      <c r="AO29" s="432"/>
      <c r="AP29" s="432"/>
      <c r="AQ29" s="432"/>
      <c r="AR29" s="432"/>
      <c r="AS29" s="482">
        <v>0</v>
      </c>
    </row>
    <row s="6011" customFormat="1" customHeight="1" ht="18.75">
      <c r="A30" s="1432"/>
      <c r="B30" s="1432"/>
      <c r="C30" s="1432"/>
      <c r="D30" s="1432"/>
      <c r="E30" s="1432"/>
      <c r="F30" s="1432"/>
      <c r="G30" s="1432"/>
      <c r="H30" s="1432"/>
      <c r="I30" s="1432"/>
      <c r="J30" s="1432"/>
      <c r="K30" s="1432"/>
      <c r="L30" s="1433"/>
      <c r="M30" s="1432"/>
      <c r="N30" s="1432"/>
      <c r="O30" s="1432"/>
      <c r="S30" s="2314" t="s">
        <v>425</v>
      </c>
      <c r="T30" s="2314"/>
      <c r="U30" s="1436"/>
      <c r="V30" s="2328" t="str">
        <f>IF(TITLE_DATE_PR_CHANGE="",IF(TITLE_DATE_PR="","",TITLE_DATE_PR),TITLE_DATE_PR_CHANGE)</f>
        <v>46008.48059027778</v>
      </c>
      <c r="W30" s="2328"/>
      <c r="X30" s="2328"/>
      <c r="Y30" s="2328"/>
      <c r="Z30" s="2328"/>
      <c r="AA30" s="2328"/>
      <c r="AB30" s="2328"/>
      <c r="AC30" s="390"/>
      <c r="AD30" s="2328" t="str">
        <f>IF(TITLE_DATE_PR_CHANGE="",IF(TITLE_DATE_PR="","",TITLE_DATE_PR),TITLE_DATE_PR_CHANGE)</f>
        <v>46008.48059027778</v>
      </c>
      <c r="AE30" s="2328"/>
      <c r="AF30" s="2328"/>
      <c r="AG30" s="2328"/>
      <c r="AH30" s="2328"/>
      <c r="AI30" s="2328"/>
      <c r="AJ30" s="2328"/>
      <c r="AK30" s="390"/>
      <c r="AL30" s="390"/>
      <c r="AM30" s="344"/>
      <c r="AN30" s="432"/>
      <c r="AO30" s="432"/>
      <c r="AP30" s="432"/>
      <c r="AQ30" s="432"/>
      <c r="AR30" s="432"/>
      <c r="AS30" s="482">
        <v>0</v>
      </c>
    </row>
    <row s="6011" customFormat="1" customHeight="1" ht="18.75">
      <c r="A31" s="1432"/>
      <c r="B31" s="1432"/>
      <c r="C31" s="1432"/>
      <c r="D31" s="1432"/>
      <c r="E31" s="1432"/>
      <c r="F31" s="1432"/>
      <c r="G31" s="1432"/>
      <c r="H31" s="1432"/>
      <c r="I31" s="1432"/>
      <c r="J31" s="1432"/>
      <c r="K31" s="1432"/>
      <c r="L31" s="1433"/>
      <c r="M31" s="1432"/>
      <c r="N31" s="1432"/>
      <c r="O31" s="1432"/>
      <c r="S31" s="2314" t="s">
        <v>426</v>
      </c>
      <c r="T31" s="2314"/>
      <c r="U31" s="1436"/>
      <c r="V31" s="2315" t="str">
        <f>IF(TITLE_NUMBER_PR_CHANGE="",IF(TITLE_NUMBER_PR="","",TITLE_NUMBER_PR),TITLE_NUMBER_PR_CHANGE)</f>
        <v>58</v>
      </c>
      <c r="W31" s="2315"/>
      <c r="X31" s="2315"/>
      <c r="Y31" s="2315"/>
      <c r="Z31" s="2315"/>
      <c r="AA31" s="2315"/>
      <c r="AB31" s="2315"/>
      <c r="AC31" s="390"/>
      <c r="AD31" s="2315" t="str">
        <f>IF(TITLE_NUMBER_PR_CHANGE="",IF(TITLE_NUMBER_PR="","",TITLE_NUMBER_PR),TITLE_NUMBER_PR_CHANGE)</f>
        <v>58</v>
      </c>
      <c r="AE31" s="2315"/>
      <c r="AF31" s="2315"/>
      <c r="AG31" s="2315"/>
      <c r="AH31" s="2315"/>
      <c r="AI31" s="2315"/>
      <c r="AJ31" s="2315"/>
      <c r="AK31" s="390"/>
      <c r="AL31" s="390"/>
      <c r="AM31" s="344"/>
      <c r="AN31" s="432"/>
      <c r="AO31" s="432"/>
      <c r="AP31" s="432"/>
      <c r="AQ31" s="432"/>
      <c r="AR31" s="432"/>
      <c r="AS31" s="482">
        <v>0</v>
      </c>
    </row>
    <row s="601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http://pravo.gov.ru</v>
      </c>
      <c r="W32" s="2315"/>
      <c r="X32" s="2315"/>
      <c r="Y32" s="2315"/>
      <c r="Z32" s="2315"/>
      <c r="AA32" s="2315"/>
      <c r="AB32" s="2315"/>
      <c r="AC32" s="390"/>
      <c r="AD32" s="2315" t="str">
        <f>IF(TITLE_IST_PUB_CHANGE="",IF(TITLE_IST_PUB="","",TITLE_IST_PUB),TITLE_IST_PUB_CHANGE)</f>
        <v>http://pravo.gov.ru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6011" customFormat="1" customHeight="1" ht="18.75" hidden="1">
      <c r="A34" s="1432"/>
      <c r="B34" s="1432"/>
      <c r="C34" s="1432"/>
      <c r="D34" s="1432"/>
      <c r="E34" s="1432"/>
      <c r="F34" s="1432"/>
      <c r="G34" s="1432"/>
      <c r="H34" s="1432"/>
      <c r="I34" s="1432"/>
      <c r="J34" s="1432"/>
      <c r="K34" s="1432"/>
      <c r="L34" s="1433"/>
      <c r="M34" s="1432"/>
      <c r="N34" s="1432"/>
      <c r="O34" s="1432"/>
      <c r="S34" s="2314" t="s">
        <v>427</v>
      </c>
      <c r="T34" s="2314"/>
      <c r="U34" s="1436"/>
      <c r="V34" s="2328" t="str">
        <f>IF(TITLE_DATE_PR_CHANGE="",IF(TITLE_DATE_PR="","",TITLE_DATE_PR),TITLE_DATE_PR_CHANGE)</f>
        <v>46008.48059027778</v>
      </c>
      <c r="W34" s="2328"/>
      <c r="X34" s="2328"/>
      <c r="Y34" s="2328"/>
      <c r="Z34" s="2328"/>
      <c r="AA34" s="2328"/>
      <c r="AB34" s="2328"/>
      <c r="AC34" s="390"/>
      <c r="AD34" s="2328" t="str">
        <f>IF(TITLE_DATE_PR_CHANGE="",IF(TITLE_DATE_PR="","",TITLE_DATE_PR),TITLE_DATE_PR_CHANGE)</f>
        <v>46008.48059027778</v>
      </c>
      <c r="AE34" s="2328"/>
      <c r="AF34" s="2328"/>
      <c r="AG34" s="2328"/>
      <c r="AH34" s="2328"/>
      <c r="AI34" s="2328"/>
      <c r="AJ34" s="2328"/>
      <c r="AK34" s="390"/>
      <c r="AL34" s="390"/>
      <c r="AM34" s="344"/>
      <c r="AN34" s="432"/>
      <c r="AO34" s="432"/>
      <c r="AP34" s="432"/>
      <c r="AQ34" s="432"/>
      <c r="AR34" s="432"/>
      <c r="AS34" s="482">
        <v>0</v>
      </c>
    </row>
    <row s="6011" customFormat="1" customHeight="1" ht="25.5" hidden="1">
      <c r="A35" s="1432"/>
      <c r="B35" s="1432"/>
      <c r="C35" s="1432"/>
      <c r="D35" s="1432"/>
      <c r="E35" s="1432"/>
      <c r="F35" s="1432"/>
      <c r="G35" s="1432"/>
      <c r="H35" s="1432"/>
      <c r="I35" s="1432"/>
      <c r="J35" s="1432"/>
      <c r="K35" s="1432"/>
      <c r="L35" s="1433"/>
      <c r="M35" s="1432"/>
      <c r="N35" s="1432"/>
      <c r="O35" s="1432"/>
      <c r="S35" s="2314" t="s">
        <v>428</v>
      </c>
      <c r="T35" s="2314"/>
      <c r="U35" s="1436"/>
      <c r="V35" s="2315" t="str">
        <f>IF(TITLE_NUMBER_PR_CHANGE="",IF(TITLE_NUMBER_PR="","",TITLE_NUMBER_PR),TITLE_NUMBER_PR_CHANGE)</f>
        <v>58</v>
      </c>
      <c r="W35" s="2315"/>
      <c r="X35" s="2315"/>
      <c r="Y35" s="2315"/>
      <c r="Z35" s="2315"/>
      <c r="AA35" s="2315"/>
      <c r="AB35" s="2315"/>
      <c r="AC35" s="390"/>
      <c r="AD35" s="2315" t="str">
        <f>IF(TITLE_NUMBER_PR_CHANGE="",IF(TITLE_NUMBER_PR="","",TITLE_NUMBER_PR),TITLE_NUMBER_PR_CHANGE)</f>
        <v>58</v>
      </c>
      <c r="AE35" s="2315"/>
      <c r="AF35" s="2315"/>
      <c r="AG35" s="2315"/>
      <c r="AH35" s="2315"/>
      <c r="AI35" s="2315"/>
      <c r="AJ35" s="2315"/>
      <c r="AK35" s="390"/>
      <c r="AL35" s="390"/>
      <c r="AM35" s="344"/>
      <c r="AN35" s="432"/>
      <c r="AO35" s="432"/>
      <c r="AP35" s="432"/>
      <c r="AQ35" s="432"/>
      <c r="AR35" s="432"/>
      <c r="AS35" s="482">
        <v>0</v>
      </c>
    </row>
    <row s="601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429</v>
      </c>
      <c r="AD36" s="390"/>
      <c r="AE36" s="390"/>
      <c r="AF36" s="390"/>
      <c r="AG36" s="390"/>
      <c r="AH36" s="390"/>
      <c r="AI36" s="390"/>
      <c r="AJ36" s="390"/>
      <c r="AK36" s="342" t="s">
        <v>429</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89</v>
      </c>
      <c r="T39" s="2273" t="s">
        <v>430</v>
      </c>
      <c r="U39" s="365"/>
      <c r="V39" s="2338" t="s">
        <v>431</v>
      </c>
      <c r="W39" s="2339"/>
      <c r="X39" s="2339"/>
      <c r="Y39" s="2339"/>
      <c r="Z39" s="2339"/>
      <c r="AA39" s="2339"/>
      <c r="AB39" s="2340"/>
      <c r="AC39" s="2341" t="s">
        <v>432</v>
      </c>
      <c r="AD39" s="2338" t="s">
        <v>431</v>
      </c>
      <c r="AE39" s="2339"/>
      <c r="AF39" s="2339"/>
      <c r="AG39" s="2339"/>
      <c r="AH39" s="2339"/>
      <c r="AI39" s="2339"/>
      <c r="AJ39" s="2340"/>
      <c r="AK39" s="2341" t="s">
        <v>433</v>
      </c>
      <c r="AL39" s="2344" t="s">
        <v>434</v>
      </c>
      <c r="AM39" s="2191"/>
      <c r="AS39" s="1219">
        <v>14</v>
      </c>
    </row>
    <row customHeight="1" ht="35.699999999999996">
      <c r="Q40" s="440"/>
      <c r="R40" s="440"/>
      <c r="S40" s="2337"/>
      <c r="T40" s="2273"/>
      <c r="U40" s="1095"/>
      <c r="V40" s="2324" t="s">
        <v>435</v>
      </c>
      <c r="W40" s="2347"/>
      <c r="X40" s="2326" t="s">
        <v>437</v>
      </c>
      <c r="Y40" s="2327"/>
      <c r="Z40" s="2326" t="s">
        <v>438</v>
      </c>
      <c r="AA40" s="2333"/>
      <c r="AB40" s="2327"/>
      <c r="AC40" s="2342"/>
      <c r="AD40" s="2324" t="s">
        <v>451</v>
      </c>
      <c r="AE40" s="2347"/>
      <c r="AF40" s="2326" t="s">
        <v>437</v>
      </c>
      <c r="AG40" s="2327"/>
      <c r="AH40" s="2326" t="s">
        <v>438</v>
      </c>
      <c r="AI40" s="2333"/>
      <c r="AJ40" s="2327"/>
      <c r="AK40" s="2342"/>
      <c r="AL40" s="2345"/>
      <c r="AM40" s="2191"/>
      <c r="AS40" s="1219">
        <v>34</v>
      </c>
    </row>
    <row customHeight="1" ht="35.699999999999996">
      <c r="A41" s="1434"/>
      <c r="B41" s="1434" t="s">
        <v>136</v>
      </c>
      <c r="C41" s="1434" t="s">
        <v>137</v>
      </c>
      <c r="D41" s="1434" t="s">
        <v>138</v>
      </c>
      <c r="E41" s="1428" t="s">
        <v>439</v>
      </c>
      <c r="F41" s="1428" t="s">
        <v>440</v>
      </c>
      <c r="G41" s="1428" t="s">
        <v>441</v>
      </c>
      <c r="H41" s="1428" t="s">
        <v>442</v>
      </c>
      <c r="I41" s="1428" t="s">
        <v>443</v>
      </c>
      <c r="J41" s="1428" t="s">
        <v>444</v>
      </c>
      <c r="K41" s="1428" t="s">
        <v>445</v>
      </c>
      <c r="L41" s="1428" t="s">
        <v>420</v>
      </c>
      <c r="Q41" s="440"/>
      <c r="R41" s="440"/>
      <c r="S41" s="2337"/>
      <c r="T41" s="2273"/>
      <c r="U41" s="366"/>
      <c r="V41" s="2325"/>
      <c r="W41" s="2348"/>
      <c r="X41" s="1286" t="s">
        <v>446</v>
      </c>
      <c r="Y41" s="1286" t="s">
        <v>447</v>
      </c>
      <c r="Z41" s="1402" t="s">
        <v>448</v>
      </c>
      <c r="AA41" s="2334" t="s">
        <v>449</v>
      </c>
      <c r="AB41" s="2335"/>
      <c r="AC41" s="2343"/>
      <c r="AD41" s="2325"/>
      <c r="AE41" s="2348"/>
      <c r="AF41" s="1286" t="s">
        <v>446</v>
      </c>
      <c r="AG41" s="1286" t="s">
        <v>447</v>
      </c>
      <c r="AH41" s="1402" t="s">
        <v>448</v>
      </c>
      <c r="AI41" s="2334" t="s">
        <v>449</v>
      </c>
      <c r="AJ41" s="2335"/>
      <c r="AK41" s="2343"/>
      <c r="AL41" s="2346"/>
      <c r="AM41" s="2191"/>
      <c r="AS41" s="1219">
        <v>34</v>
      </c>
    </row>
    <row s="371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110</v>
      </c>
      <c r="T42" s="1319" t="s">
        <v>111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124</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187</v>
      </c>
      <c r="B44" s="1427" t="s">
        <v>188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187</v>
      </c>
      <c r="B45" s="1427" t="s">
        <v>188</v>
      </c>
      <c r="C45" s="1427" t="s">
        <v>189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187</v>
      </c>
      <c r="B46" s="1427" t="s">
        <v>188</v>
      </c>
      <c r="C46" s="1427" t="s">
        <v>189</v>
      </c>
      <c r="D46" s="1427" t="s">
        <v>190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976" customFormat="1" customHeight="1" ht="0">
      <c r="A47" s="1407" t="s">
        <v>187</v>
      </c>
      <c r="B47" s="1407" t="s">
        <v>188</v>
      </c>
      <c r="C47" s="1407" t="s">
        <v>189</v>
      </c>
      <c r="D47" s="1407" t="s">
        <v>190</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187</v>
      </c>
      <c r="B48" s="1427" t="s">
        <v>188</v>
      </c>
      <c r="C48" s="1427" t="s">
        <v>189</v>
      </c>
      <c r="D48" s="1427" t="s">
        <v>190</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187</v>
      </c>
      <c r="B49" s="1427" t="s">
        <v>188</v>
      </c>
      <c r="C49" s="1427" t="s">
        <v>189</v>
      </c>
      <c r="D49" s="1427" t="s">
        <v>190</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62</v>
      </c>
      <c r="AB49" s="2329"/>
      <c r="AC49" s="2171" t="s">
        <v>62</v>
      </c>
      <c r="AD49" s="815"/>
      <c r="AE49" s="389"/>
      <c r="AF49" s="815"/>
      <c r="AG49" s="1321"/>
      <c r="AH49" s="2329"/>
      <c r="AI49" s="2171" t="s">
        <v>62</v>
      </c>
      <c r="AJ49" s="2351"/>
      <c r="AK49" s="2171" t="s">
        <v>62</v>
      </c>
      <c r="AL49" s="1412"/>
      <c r="AM49" s="2317" t="s">
        <v>452</v>
      </c>
      <c r="AN49" s="575">
        <f>STRCHECKDATE(V50:AL50)</f>
      </c>
      <c r="AO49" s="564"/>
      <c r="AP49" s="564" t="str">
        <f>IF(T49="","",T49)</f>
        <v/>
      </c>
      <c r="AQ49" s="564"/>
      <c r="AR49" s="564"/>
      <c r="AS49" s="1219">
        <v>21</v>
      </c>
    </row>
    <row customHeight="1" ht="0">
      <c r="A50" s="1427" t="s">
        <v>187</v>
      </c>
      <c r="B50" s="1427" t="s">
        <v>188</v>
      </c>
      <c r="C50" s="1427" t="s">
        <v>189</v>
      </c>
      <c r="D50" s="1427" t="s">
        <v>190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187</v>
      </c>
      <c r="B51" s="1427" t="s">
        <v>188</v>
      </c>
      <c r="C51" s="1427" t="s">
        <v>189</v>
      </c>
      <c r="D51" s="1427" t="s">
        <v>190</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187</v>
      </c>
      <c r="B52" s="1427" t="s">
        <v>188</v>
      </c>
      <c r="C52" s="1427" t="s">
        <v>189</v>
      </c>
      <c r="D52" s="1427" t="s">
        <v>190</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187</v>
      </c>
      <c r="B53" s="1427" t="s">
        <v>188</v>
      </c>
      <c r="C53" s="1427" t="s">
        <v>189</v>
      </c>
      <c r="D53" s="1427" t="s">
        <v>190</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976" customFormat="1" customHeight="1" ht="0">
      <c r="A54" s="1407" t="s">
        <v>187</v>
      </c>
      <c r="B54" s="1407" t="s">
        <v>188</v>
      </c>
      <c r="C54" s="1407" t="s">
        <v>189</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976" customFormat="1" customHeight="1" ht="0">
      <c r="A55" s="1407" t="s">
        <v>187</v>
      </c>
      <c r="B55" s="1407" t="s">
        <v>188</v>
      </c>
      <c r="C55" s="1378"/>
      <c r="D55" s="1378"/>
      <c r="E55" s="2323"/>
      <c r="F55" s="2322"/>
      <c r="G55" s="1378"/>
      <c r="H55" s="1378"/>
      <c r="I55" s="1378"/>
      <c r="J55" s="1378"/>
      <c r="K55" s="1378"/>
      <c r="L55" s="1403"/>
      <c r="M55" s="1385"/>
      <c r="N55" s="1385"/>
      <c r="P55" s="1380"/>
      <c r="Q55" s="1381"/>
      <c r="R55" s="1380"/>
      <c r="S55" s="1386"/>
      <c r="T55" s="1389" t="s">
        <v>255</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976" customFormat="1" customHeight="1" ht="0">
      <c r="A56" s="1407" t="s">
        <v>187</v>
      </c>
      <c r="B56" s="1407"/>
      <c r="C56" s="1407"/>
      <c r="D56" s="1407"/>
      <c r="E56" s="2322"/>
      <c r="F56" s="1407"/>
      <c r="G56" s="1407"/>
      <c r="H56" s="1407"/>
      <c r="I56" s="1407"/>
      <c r="J56" s="1407"/>
      <c r="K56" s="1407"/>
      <c r="L56" s="1410"/>
      <c r="M56" s="1385"/>
      <c r="N56" s="1385"/>
      <c r="O56" s="582"/>
      <c r="P56" s="444"/>
      <c r="Q56" s="1408"/>
      <c r="R56" s="444"/>
      <c r="S56" s="1386"/>
      <c r="T56" s="1389" t="s">
        <v>256</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976"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257</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83</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56DC2-1A81-D95E-C165-0.3DF7B66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468" width="10.57421875" hidden="1"/>
    <col min="2" max="2" style="5468" width="11.00390625" hidden="1" customWidth="1"/>
    <col min="3" max="3" style="5468" width="10.57421875" hidden="1"/>
    <col min="4" max="4" style="5468" width="11.8515625" hidden="1" customWidth="1"/>
    <col min="5" max="5" style="5468" width="10.00390625" hidden="1" customWidth="1"/>
    <col min="6" max="6" style="5468" width="8.7109375" hidden="1" customWidth="1"/>
    <col min="7" max="7" style="5468" width="7.57421875" hidden="1" customWidth="1"/>
    <col min="8" max="8" style="5468" width="11.421875" hidden="1" customWidth="1"/>
    <col min="9" max="9" style="5468" width="12.00390625" hidden="1" customWidth="1"/>
    <col min="10" max="10" style="5468" width="9.8515625" hidden="1" customWidth="1"/>
    <col min="11" max="12" style="5468" width="11.421875" hidden="1" customWidth="1"/>
    <col min="13" max="13" style="6132" width="19.140625" hidden="1" customWidth="1"/>
    <col min="14" max="15" style="6151" width="12.28125" hidden="1" customWidth="1"/>
    <col min="16" max="16" style="6151" width="23.421875" hidden="1" customWidth="1"/>
    <col min="17" max="17" style="6151" width="3.7109375" hidden="1" customWidth="1"/>
    <col min="18" max="20" style="5437" width="3.00390625" customWidth="1"/>
    <col min="21" max="21" style="6125" width="12.00390625" customWidth="1"/>
    <col min="22" max="22" style="5468" width="31.00390625" customWidth="1"/>
    <col min="23" max="23" style="5468" width="0.140625" customWidth="1"/>
    <col min="24" max="28" style="5468" width="21.7109375" hidden="1" customWidth="1"/>
    <col min="29" max="29" style="5468" width="11.7109375" hidden="1" customWidth="1"/>
    <col min="30" max="30" style="5468" width="3.7109375" hidden="1" customWidth="1"/>
    <col min="31" max="31" style="5468" width="11.7109375" hidden="1" customWidth="1"/>
    <col min="32" max="32" style="5468" width="8.57421875" hidden="1" customWidth="1"/>
    <col min="33" max="33" style="5468" width="21.7109375" customWidth="1"/>
    <col min="34" max="37" style="5468" width="21.00390625" customWidth="1"/>
    <col min="38" max="38" style="5468" width="11.00390625" customWidth="1"/>
    <col min="39" max="39" style="5468" width="3.7109375" customWidth="1"/>
    <col min="40" max="40" style="5468" width="11.00390625" customWidth="1"/>
    <col min="41" max="41" style="5468" width="8.57421875" hidden="1" customWidth="1"/>
    <col min="42" max="42" style="5468" width="4.00390625" customWidth="1"/>
    <col min="43" max="43" style="5468" width="115.00390625" customWidth="1"/>
    <col min="44" max="48" style="4976" width="10.00390625" customWidth="1"/>
    <col min="49" max="49" style="546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124</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400</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401</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402</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403</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404</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405</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406</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407</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410</v>
      </c>
      <c r="N7" s="573"/>
      <c r="O7" s="391"/>
      <c r="Q7" s="2321"/>
      <c r="R7" s="2321">
        <v>1</v>
      </c>
      <c r="S7" s="582"/>
      <c r="T7" s="421"/>
      <c r="U7" s="1400">
        <f>$J7</f>
      </c>
      <c r="V7" s="350" t="s">
        <v>411</v>
      </c>
      <c r="W7" s="364"/>
      <c r="X7" s="2309"/>
      <c r="Y7" s="2310"/>
      <c r="Z7" s="2310"/>
      <c r="AA7" s="2310"/>
      <c r="AB7" s="2310"/>
      <c r="AC7" s="2299"/>
      <c r="AD7" s="2299"/>
      <c r="AE7" s="2299"/>
      <c r="AF7" s="2372"/>
      <c r="AG7" s="2309"/>
      <c r="AH7" s="2310"/>
      <c r="AI7" s="2310"/>
      <c r="AJ7" s="2310"/>
      <c r="AK7" s="2310"/>
      <c r="AL7" s="2310"/>
      <c r="AM7" s="2310"/>
      <c r="AN7" s="2310"/>
      <c r="AO7" s="2310"/>
      <c r="AP7" s="2311"/>
      <c r="AQ7" s="1322" t="s">
        <v>412</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413</v>
      </c>
      <c r="N8" s="573"/>
      <c r="O8" s="391"/>
      <c r="P8" s="391"/>
      <c r="Q8" s="2321"/>
      <c r="R8" s="2321"/>
      <c r="S8" s="2321">
        <v>1</v>
      </c>
      <c r="T8" s="421"/>
      <c r="U8" s="1400">
        <f>$K8</f>
      </c>
      <c r="V8" s="1411"/>
      <c r="W8" s="364"/>
      <c r="X8" s="815"/>
      <c r="Y8" s="815"/>
      <c r="Z8" s="815"/>
      <c r="AA8" s="815"/>
      <c r="AB8" s="1469"/>
      <c r="AC8" s="2329"/>
      <c r="AD8" s="2171" t="s">
        <v>62</v>
      </c>
      <c r="AE8" s="2329"/>
      <c r="AF8" s="2171" t="s">
        <v>62</v>
      </c>
      <c r="AG8" s="1471"/>
      <c r="AH8" s="815"/>
      <c r="AI8" s="815"/>
      <c r="AJ8" s="815"/>
      <c r="AK8" s="1321"/>
      <c r="AL8" s="2329"/>
      <c r="AM8" s="2171" t="s">
        <v>62</v>
      </c>
      <c r="AN8" s="2329"/>
      <c r="AO8" s="2171" t="s">
        <v>62</v>
      </c>
      <c r="AP8" s="389"/>
      <c r="AQ8" s="1371" t="s">
        <v>453</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454</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455</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415</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416</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976"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418</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976"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255</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976"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256</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62</v>
      </c>
      <c r="AN19" s="2331"/>
      <c r="AO19" s="2332" t="s">
        <v>62</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5416" customFormat="1" customHeight="1" ht="22.5" hidden="1">
      <c r="A24" s="1219"/>
      <c r="B24" s="1219"/>
      <c r="C24" s="1219"/>
      <c r="D24" s="1219"/>
      <c r="E24" s="1219"/>
      <c r="F24" s="1219"/>
      <c r="G24" s="1219"/>
      <c r="H24" s="1219"/>
      <c r="I24" s="1219"/>
      <c r="J24" s="1219"/>
      <c r="K24" s="1219"/>
      <c r="L24" s="1219"/>
      <c r="M24" s="1391"/>
      <c r="N24" s="1392"/>
      <c r="O24" s="1392"/>
      <c r="P24" s="1409" t="s">
        <v>419</v>
      </c>
      <c r="Q24" s="1426"/>
      <c r="R24" s="1435"/>
      <c r="S24" s="1435"/>
      <c r="T24" s="1435"/>
      <c r="U24" s="793"/>
      <c r="AC24" s="1431"/>
      <c r="AE24" s="1431"/>
      <c r="AF24" s="1430"/>
      <c r="AL24" s="1431"/>
      <c r="AN24" s="1431"/>
      <c r="AO24" s="1430"/>
      <c r="AR24" s="575"/>
      <c r="AS24" s="575"/>
      <c r="AT24" s="575"/>
      <c r="AU24" s="575"/>
      <c r="AV24" s="575"/>
      <c r="AW24" s="1224">
        <v>0</v>
      </c>
    </row>
    <row s="5416"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5416" customFormat="1" customHeight="1" ht="14.25" hidden="1">
      <c r="A26" s="1219"/>
      <c r="B26" s="1219"/>
      <c r="C26" s="1219"/>
      <c r="D26" s="1219"/>
      <c r="E26" s="1219"/>
      <c r="F26" s="1219"/>
      <c r="G26" s="1219"/>
      <c r="H26" s="1219"/>
      <c r="I26" s="1219"/>
      <c r="J26" s="1219"/>
      <c r="K26" s="1219"/>
      <c r="L26" s="1219"/>
      <c r="M26" s="1391"/>
      <c r="N26" s="1392"/>
      <c r="O26" s="1392"/>
      <c r="P26" s="1374" t="s">
        <v>420</v>
      </c>
      <c r="Q26" s="1426"/>
      <c r="R26" s="1435"/>
      <c r="S26" s="1435"/>
      <c r="T26" s="1435"/>
      <c r="U26" s="793"/>
      <c r="V26" s="1224" t="s">
        <v>421</v>
      </c>
      <c r="AD26" s="250" t="s">
        <v>422</v>
      </c>
      <c r="AF26" s="250" t="s">
        <v>423</v>
      </c>
      <c r="AG26" s="1224" t="s">
        <v>421</v>
      </c>
      <c r="AM26" s="250" t="s">
        <v>424</v>
      </c>
      <c r="AO26" s="250" t="s">
        <v>423</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Нарьян-Марское МУ ПОКиТС</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6011" customFormat="1" customHeight="1" ht="25.5">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УГРЦТ НАО</v>
      </c>
      <c r="Y33" s="2315"/>
      <c r="Z33" s="2315"/>
      <c r="AA33" s="2315"/>
      <c r="AB33" s="2315"/>
      <c r="AC33" s="2315"/>
      <c r="AD33" s="2315"/>
      <c r="AE33" s="2315"/>
      <c r="AF33" s="390"/>
      <c r="AG33" s="2315" t="str">
        <f>IF(TITLE_NAME_OR_PR_CHANGE="",IF(TITLE_NAME_OR_PR="","",TITLE_NAME_OR_PR),TITLE_NAME_OR_PR_CHANGE)</f>
        <v>УГРЦТ НАО</v>
      </c>
      <c r="AH33" s="2315"/>
      <c r="AI33" s="2315"/>
      <c r="AJ33" s="2315"/>
      <c r="AK33" s="2315"/>
      <c r="AL33" s="2315"/>
      <c r="AM33" s="2315"/>
      <c r="AN33" s="2315"/>
      <c r="AO33" s="390"/>
      <c r="AP33" s="390"/>
      <c r="AQ33" s="344"/>
      <c r="AR33" s="432"/>
      <c r="AS33" s="432"/>
      <c r="AT33" s="432"/>
      <c r="AU33" s="432"/>
      <c r="AV33" s="432"/>
      <c r="AW33" s="482">
        <v>0</v>
      </c>
    </row>
    <row s="6011" customFormat="1" customHeight="1" ht="18.75">
      <c r="A34" s="1312"/>
      <c r="B34" s="1312"/>
      <c r="C34" s="1312"/>
      <c r="D34" s="1312"/>
      <c r="E34" s="1312"/>
      <c r="F34" s="1312"/>
      <c r="G34" s="1312"/>
      <c r="H34" s="1312"/>
      <c r="I34" s="1312"/>
      <c r="J34" s="1312"/>
      <c r="K34" s="1312"/>
      <c r="L34" s="1312"/>
      <c r="M34" s="1444"/>
      <c r="N34" s="1312"/>
      <c r="O34" s="1312"/>
      <c r="P34" s="1312"/>
      <c r="U34" s="2314" t="s">
        <v>425</v>
      </c>
      <c r="V34" s="2314"/>
      <c r="W34" s="1436"/>
      <c r="X34" s="2328" t="str">
        <f>IF(TITLE_DATE_PR_CHANGE="",IF(TITLE_DATE_PR="","",TITLE_DATE_PR),TITLE_DATE_PR_CHANGE)</f>
        <v>46008.48059027778</v>
      </c>
      <c r="Y34" s="2328"/>
      <c r="Z34" s="2328"/>
      <c r="AA34" s="2328"/>
      <c r="AB34" s="2328"/>
      <c r="AC34" s="2328"/>
      <c r="AD34" s="2328"/>
      <c r="AE34" s="2328"/>
      <c r="AF34" s="390"/>
      <c r="AG34" s="2328" t="str">
        <f>IF(TITLE_DATE_PR_CHANGE="",IF(TITLE_DATE_PR="","",TITLE_DATE_PR),TITLE_DATE_PR_CHANGE)</f>
        <v>46008.48059027778</v>
      </c>
      <c r="AH34" s="2328"/>
      <c r="AI34" s="2328"/>
      <c r="AJ34" s="2328"/>
      <c r="AK34" s="2328"/>
      <c r="AL34" s="2328"/>
      <c r="AM34" s="2328"/>
      <c r="AN34" s="2328"/>
      <c r="AO34" s="390"/>
      <c r="AP34" s="390"/>
      <c r="AQ34" s="344"/>
      <c r="AR34" s="432"/>
      <c r="AS34" s="432"/>
      <c r="AT34" s="432"/>
      <c r="AU34" s="432"/>
      <c r="AV34" s="432"/>
      <c r="AW34" s="482">
        <v>0</v>
      </c>
    </row>
    <row s="6011" customFormat="1" customHeight="1" ht="18.75">
      <c r="A35" s="1312"/>
      <c r="B35" s="1312"/>
      <c r="C35" s="1312"/>
      <c r="D35" s="1312"/>
      <c r="E35" s="1312"/>
      <c r="F35" s="1312"/>
      <c r="G35" s="1312"/>
      <c r="H35" s="1312"/>
      <c r="I35" s="1312"/>
      <c r="J35" s="1312"/>
      <c r="K35" s="1312"/>
      <c r="L35" s="1312"/>
      <c r="M35" s="1444"/>
      <c r="N35" s="1312"/>
      <c r="O35" s="1312"/>
      <c r="P35" s="1312"/>
      <c r="U35" s="2314" t="s">
        <v>426</v>
      </c>
      <c r="V35" s="2314"/>
      <c r="W35" s="1436"/>
      <c r="X35" s="2315" t="str">
        <f>IF(TITLE_NUMBER_PR_CHANGE="",IF(TITLE_NUMBER_PR="","",TITLE_NUMBER_PR),TITLE_NUMBER_PR_CHANGE)</f>
        <v>58</v>
      </c>
      <c r="Y35" s="2315"/>
      <c r="Z35" s="2315"/>
      <c r="AA35" s="2315"/>
      <c r="AB35" s="2315"/>
      <c r="AC35" s="2315"/>
      <c r="AD35" s="2315"/>
      <c r="AE35" s="2315"/>
      <c r="AF35" s="390"/>
      <c r="AG35" s="2315" t="str">
        <f>IF(TITLE_NUMBER_PR_CHANGE="",IF(TITLE_NUMBER_PR="","",TITLE_NUMBER_PR),TITLE_NUMBER_PR_CHANGE)</f>
        <v>58</v>
      </c>
      <c r="AH35" s="2315"/>
      <c r="AI35" s="2315"/>
      <c r="AJ35" s="2315"/>
      <c r="AK35" s="2315"/>
      <c r="AL35" s="2315"/>
      <c r="AM35" s="2315"/>
      <c r="AN35" s="2315"/>
      <c r="AO35" s="390"/>
      <c r="AP35" s="390"/>
      <c r="AQ35" s="344"/>
      <c r="AR35" s="432"/>
      <c r="AS35" s="432"/>
      <c r="AT35" s="432"/>
      <c r="AU35" s="432"/>
      <c r="AV35" s="432"/>
      <c r="AW35" s="482">
        <v>0</v>
      </c>
    </row>
    <row s="6011" customFormat="1" customHeight="1" ht="18.75">
      <c r="A36" s="1312"/>
      <c r="B36" s="1312"/>
      <c r="C36" s="1312"/>
      <c r="D36" s="1312"/>
      <c r="E36" s="1312"/>
      <c r="F36" s="1312"/>
      <c r="G36" s="1312"/>
      <c r="H36" s="1312"/>
      <c r="I36" s="1312"/>
      <c r="J36" s="1312"/>
      <c r="K36" s="1312"/>
      <c r="L36" s="1312"/>
      <c r="M36" s="1444"/>
      <c r="N36" s="1312"/>
      <c r="O36" s="1312"/>
      <c r="P36" s="1312"/>
      <c r="U36" s="2314" t="s">
        <v>44</v>
      </c>
      <c r="V36" s="2314"/>
      <c r="W36" s="1436"/>
      <c r="X36" s="2315" t="str">
        <f>IF(TITLE_IST_PUB_CHANGE="",IF(TITLE_IST_PUB="","",TITLE_IST_PUB),TITLE_IST_PUB_CHANGE)</f>
        <v>http://pravo.gov.ru</v>
      </c>
      <c r="Y36" s="2315"/>
      <c r="Z36" s="2315"/>
      <c r="AA36" s="2315"/>
      <c r="AB36" s="2315"/>
      <c r="AC36" s="2315"/>
      <c r="AD36" s="2315"/>
      <c r="AE36" s="2315"/>
      <c r="AF36" s="390"/>
      <c r="AG36" s="2315" t="str">
        <f>IF(TITLE_IST_PUB_CHANGE="",IF(TITLE_IST_PUB="","",TITLE_IST_PUB),TITLE_IST_PUB_CHANGE)</f>
        <v>http://pravo.gov.ru</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6011" customFormat="1" customHeight="1" ht="18.75" hidden="1">
      <c r="A38" s="1312"/>
      <c r="B38" s="1312"/>
      <c r="C38" s="1312"/>
      <c r="D38" s="1312"/>
      <c r="E38" s="1312"/>
      <c r="F38" s="1312"/>
      <c r="G38" s="1312"/>
      <c r="H38" s="1312"/>
      <c r="I38" s="1312"/>
      <c r="J38" s="1312"/>
      <c r="K38" s="1312"/>
      <c r="L38" s="1312"/>
      <c r="M38" s="1444"/>
      <c r="N38" s="1312"/>
      <c r="O38" s="1312"/>
      <c r="P38" s="1312"/>
      <c r="U38" s="2314" t="s">
        <v>427</v>
      </c>
      <c r="V38" s="2314"/>
      <c r="W38" s="1436"/>
      <c r="X38" s="2328" t="str">
        <f>IF(TITLE_DATE_PR_CHANGE="",IF(TITLE_DATE_PR="","",TITLE_DATE_PR),TITLE_DATE_PR_CHANGE)</f>
        <v>46008.48059027778</v>
      </c>
      <c r="Y38" s="2328"/>
      <c r="Z38" s="2328"/>
      <c r="AA38" s="2328"/>
      <c r="AB38" s="2328"/>
      <c r="AC38" s="2328"/>
      <c r="AD38" s="2328"/>
      <c r="AE38" s="2328"/>
      <c r="AF38" s="390"/>
      <c r="AG38" s="2328" t="str">
        <f>IF(TITLE_DATE_PR_CHANGE="",IF(TITLE_DATE_PR="","",TITLE_DATE_PR),TITLE_DATE_PR_CHANGE)</f>
        <v>46008.48059027778</v>
      </c>
      <c r="AH38" s="2328"/>
      <c r="AI38" s="2328"/>
      <c r="AJ38" s="2328"/>
      <c r="AK38" s="2328"/>
      <c r="AL38" s="2328"/>
      <c r="AM38" s="2328"/>
      <c r="AN38" s="2328"/>
      <c r="AO38" s="390"/>
      <c r="AP38" s="390"/>
      <c r="AQ38" s="344"/>
      <c r="AR38" s="432"/>
      <c r="AS38" s="432"/>
      <c r="AT38" s="432"/>
      <c r="AU38" s="432"/>
      <c r="AV38" s="432"/>
      <c r="AW38" s="482">
        <v>0</v>
      </c>
    </row>
    <row s="6011" customFormat="1" customHeight="1" ht="18.75" hidden="1">
      <c r="A39" s="1312"/>
      <c r="B39" s="1312"/>
      <c r="C39" s="1312"/>
      <c r="D39" s="1312"/>
      <c r="E39" s="1312"/>
      <c r="F39" s="1312"/>
      <c r="G39" s="1312"/>
      <c r="H39" s="1312"/>
      <c r="I39" s="1312"/>
      <c r="J39" s="1312"/>
      <c r="K39" s="1312"/>
      <c r="L39" s="1312"/>
      <c r="M39" s="1444"/>
      <c r="N39" s="1312"/>
      <c r="O39" s="1312"/>
      <c r="P39" s="1312"/>
      <c r="U39" s="2314" t="s">
        <v>428</v>
      </c>
      <c r="V39" s="2314"/>
      <c r="W39" s="1436"/>
      <c r="X39" s="2315" t="str">
        <f>IF(TITLE_NUMBER_PR_CHANGE="",IF(TITLE_NUMBER_PR="","",TITLE_NUMBER_PR),TITLE_NUMBER_PR_CHANGE)</f>
        <v>58</v>
      </c>
      <c r="Y39" s="2315"/>
      <c r="Z39" s="2315"/>
      <c r="AA39" s="2315"/>
      <c r="AB39" s="2315"/>
      <c r="AC39" s="2315"/>
      <c r="AD39" s="2315"/>
      <c r="AE39" s="2315"/>
      <c r="AF39" s="390"/>
      <c r="AG39" s="2315" t="str">
        <f>IF(TITLE_NUMBER_PR_CHANGE="",IF(TITLE_NUMBER_PR="","",TITLE_NUMBER_PR),TITLE_NUMBER_PR_CHANGE)</f>
        <v>58</v>
      </c>
      <c r="AH39" s="2315"/>
      <c r="AI39" s="2315"/>
      <c r="AJ39" s="2315"/>
      <c r="AK39" s="2315"/>
      <c r="AL39" s="2315"/>
      <c r="AM39" s="2315"/>
      <c r="AN39" s="2315"/>
      <c r="AO39" s="390"/>
      <c r="AP39" s="390"/>
      <c r="AQ39" s="344"/>
      <c r="AR39" s="432"/>
      <c r="AS39" s="432"/>
      <c r="AT39" s="432"/>
      <c r="AU39" s="432"/>
      <c r="AV39" s="432"/>
      <c r="AW39" s="482">
        <v>0</v>
      </c>
    </row>
    <row s="601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429</v>
      </c>
      <c r="AG40" s="390"/>
      <c r="AH40" s="390"/>
      <c r="AI40" s="390"/>
      <c r="AJ40" s="390"/>
      <c r="AK40" s="390"/>
      <c r="AL40" s="390"/>
      <c r="AM40" s="390"/>
      <c r="AN40" s="390"/>
      <c r="AO40" s="342" t="s">
        <v>429</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304</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305</v>
      </c>
      <c r="AW42" s="1219">
        <v>14</v>
      </c>
    </row>
    <row customHeight="1" ht="14.699999999999998">
      <c r="R43" s="440"/>
      <c r="S43" s="440"/>
      <c r="T43" s="440"/>
      <c r="U43" s="2337" t="s">
        <v>89</v>
      </c>
      <c r="V43" s="2273" t="s">
        <v>430</v>
      </c>
      <c r="W43" s="365"/>
      <c r="X43" s="2338" t="s">
        <v>431</v>
      </c>
      <c r="Y43" s="2355"/>
      <c r="Z43" s="2355"/>
      <c r="AA43" s="2355"/>
      <c r="AB43" s="2355"/>
      <c r="AC43" s="2339"/>
      <c r="AD43" s="2339"/>
      <c r="AE43" s="2340"/>
      <c r="AF43" s="2341" t="s">
        <v>432</v>
      </c>
      <c r="AG43" s="2338" t="s">
        <v>431</v>
      </c>
      <c r="AH43" s="2355"/>
      <c r="AI43" s="2355"/>
      <c r="AJ43" s="2355"/>
      <c r="AK43" s="2355"/>
      <c r="AL43" s="2339"/>
      <c r="AM43" s="2339"/>
      <c r="AN43" s="2340"/>
      <c r="AO43" s="2341" t="s">
        <v>433</v>
      </c>
      <c r="AP43" s="2344" t="s">
        <v>434</v>
      </c>
      <c r="AQ43" s="2191"/>
      <c r="AW43" s="1219">
        <v>14</v>
      </c>
    </row>
    <row customHeight="1" ht="35.699999999999996">
      <c r="R44" s="440"/>
      <c r="S44" s="440"/>
      <c r="T44" s="440"/>
      <c r="U44" s="2337"/>
      <c r="V44" s="2273"/>
      <c r="W44" s="1095"/>
      <c r="X44" s="2358" t="s">
        <v>456</v>
      </c>
      <c r="Y44" s="2376" t="s">
        <v>457</v>
      </c>
      <c r="Z44" s="2376"/>
      <c r="AA44" s="2376"/>
      <c r="AB44" s="2376"/>
      <c r="AC44" s="2358" t="s">
        <v>438</v>
      </c>
      <c r="AD44" s="2675"/>
      <c r="AE44" s="2378"/>
      <c r="AF44" s="2342"/>
      <c r="AG44" s="2358" t="s">
        <v>456</v>
      </c>
      <c r="AH44" s="2376" t="s">
        <v>457</v>
      </c>
      <c r="AI44" s="2376"/>
      <c r="AJ44" s="2376"/>
      <c r="AK44" s="2376"/>
      <c r="AL44" s="2358" t="s">
        <v>438</v>
      </c>
      <c r="AM44" s="2675"/>
      <c r="AN44" s="2378"/>
      <c r="AO44" s="2342"/>
      <c r="AP44" s="2345"/>
      <c r="AQ44" s="2191"/>
      <c r="AW44" s="1219">
        <v>34</v>
      </c>
    </row>
    <row customHeight="1" ht="14.699999999999998">
      <c r="R45" s="440"/>
      <c r="S45" s="440"/>
      <c r="T45" s="440"/>
      <c r="U45" s="2337"/>
      <c r="V45" s="2273"/>
      <c r="W45" s="1095"/>
      <c r="X45" s="2389"/>
      <c r="Y45" s="2381" t="s">
        <v>458</v>
      </c>
      <c r="Z45" s="2334" t="s">
        <v>459</v>
      </c>
      <c r="AA45" s="2384"/>
      <c r="AB45" s="2335"/>
      <c r="AC45" s="2359"/>
      <c r="AD45" s="2676"/>
      <c r="AE45" s="2380"/>
      <c r="AF45" s="2342"/>
      <c r="AG45" s="2389"/>
      <c r="AH45" s="2381" t="s">
        <v>458</v>
      </c>
      <c r="AI45" s="2334" t="s">
        <v>459</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460</v>
      </c>
      <c r="AA46" s="2334" t="s">
        <v>461</v>
      </c>
      <c r="AB46" s="2335"/>
      <c r="AC46" s="2381" t="s">
        <v>448</v>
      </c>
      <c r="AD46" s="2385" t="s">
        <v>449</v>
      </c>
      <c r="AE46" s="2386"/>
      <c r="AF46" s="2342"/>
      <c r="AG46" s="2389"/>
      <c r="AH46" s="2382"/>
      <c r="AI46" s="2381" t="s">
        <v>460</v>
      </c>
      <c r="AJ46" s="2334" t="s">
        <v>461</v>
      </c>
      <c r="AK46" s="2335"/>
      <c r="AL46" s="2381" t="s">
        <v>448</v>
      </c>
      <c r="AM46" s="2385" t="s">
        <v>449</v>
      </c>
      <c r="AN46" s="2386"/>
      <c r="AO46" s="2342"/>
      <c r="AP46" s="2345"/>
      <c r="AQ46" s="2191"/>
      <c r="AW46" s="1219">
        <v>26</v>
      </c>
    </row>
    <row customHeight="1" ht="65.25">
      <c r="A47" s="1323"/>
      <c r="B47" s="1323" t="s">
        <v>136</v>
      </c>
      <c r="C47" s="1323" t="s">
        <v>137</v>
      </c>
      <c r="D47" s="1323" t="s">
        <v>138</v>
      </c>
      <c r="E47" s="1374" t="s">
        <v>439</v>
      </c>
      <c r="F47" s="1374" t="s">
        <v>440</v>
      </c>
      <c r="G47" s="1374" t="s">
        <v>441</v>
      </c>
      <c r="H47" s="1374" t="s">
        <v>442</v>
      </c>
      <c r="I47" s="1374" t="s">
        <v>443</v>
      </c>
      <c r="J47" s="1374" t="s">
        <v>444</v>
      </c>
      <c r="K47" s="1374" t="s">
        <v>445</v>
      </c>
      <c r="L47" s="1374" t="s">
        <v>462</v>
      </c>
      <c r="M47" s="1374" t="s">
        <v>420</v>
      </c>
      <c r="R47" s="440"/>
      <c r="S47" s="440"/>
      <c r="T47" s="440"/>
      <c r="U47" s="2337"/>
      <c r="V47" s="2273"/>
      <c r="W47" s="366"/>
      <c r="X47" s="2359"/>
      <c r="Y47" s="2383"/>
      <c r="Z47" s="2383"/>
      <c r="AA47" s="1286" t="s">
        <v>463</v>
      </c>
      <c r="AB47" s="1286" t="s">
        <v>464</v>
      </c>
      <c r="AC47" s="2383"/>
      <c r="AD47" s="2387"/>
      <c r="AE47" s="2388"/>
      <c r="AF47" s="2343"/>
      <c r="AG47" s="2359"/>
      <c r="AH47" s="2383"/>
      <c r="AI47" s="2383"/>
      <c r="AJ47" s="1286" t="s">
        <v>463</v>
      </c>
      <c r="AK47" s="1286" t="s">
        <v>464</v>
      </c>
      <c r="AL47" s="2383"/>
      <c r="AM47" s="2387"/>
      <c r="AN47" s="2388"/>
      <c r="AO47" s="2343"/>
      <c r="AP47" s="2346"/>
      <c r="AQ47" s="2191"/>
      <c r="AW47" s="1219">
        <v>62</v>
      </c>
    </row>
    <row s="3710"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110</v>
      </c>
      <c r="V48" s="1319" t="s">
        <v>111</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175</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124</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4"/>
      <c r="AT49" s="564" t="str">
        <f>IF(V49="","",V49)</f>
        <v>Наименование тарифа</v>
      </c>
      <c r="AU49" s="564"/>
      <c r="AV49" s="564"/>
      <c r="AW49" s="1219">
        <v>21</v>
      </c>
    </row>
    <row customHeight="1" ht="22.049999999999997">
      <c r="A50" s="1331" t="s">
        <v>175</v>
      </c>
      <c r="B50" s="1331" t="s">
        <v>176</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401</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402</v>
      </c>
      <c r="AS50" s="564"/>
      <c r="AT50" s="564" t="str">
        <f>IF(V50="","",V50)</f>
        <v>Территория действия тарифа</v>
      </c>
      <c r="AU50" s="564"/>
      <c r="AV50" s="564"/>
      <c r="AW50" s="1219">
        <v>21</v>
      </c>
    </row>
    <row customHeight="1" ht="24">
      <c r="A51" s="1331" t="s">
        <v>175</v>
      </c>
      <c r="B51" s="1331" t="s">
        <v>176</v>
      </c>
      <c r="C51" s="1331" t="s">
        <v>177</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403</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404</v>
      </c>
      <c r="AS51" s="564"/>
      <c r="AT51" s="564" t="str">
        <f>IF(V51="","",V51)</f>
        <v>Наименование системы теплоснабжения </v>
      </c>
      <c r="AU51" s="564"/>
      <c r="AV51" s="564"/>
      <c r="AW51" s="1219">
        <v>23</v>
      </c>
    </row>
    <row customHeight="1" ht="22.049999999999997">
      <c r="A52" s="1331" t="s">
        <v>175</v>
      </c>
      <c r="B52" s="1331" t="s">
        <v>176</v>
      </c>
      <c r="C52" s="1331" t="s">
        <v>177</v>
      </c>
      <c r="D52" s="1331" t="s">
        <v>178</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405</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406</v>
      </c>
      <c r="AS52" s="564"/>
      <c r="AT52" s="564" t="str">
        <f>IF(V52="","",V52)</f>
        <v>Источник тепловой энергии  </v>
      </c>
      <c r="AU52" s="564"/>
      <c r="AV52" s="564"/>
      <c r="AW52" s="1219">
        <v>21</v>
      </c>
    </row>
    <row s="4976" customFormat="1" customHeight="1" ht="0">
      <c r="A53" s="1439" t="s">
        <v>175</v>
      </c>
      <c r="B53" s="1439" t="s">
        <v>176</v>
      </c>
      <c r="C53" s="1439" t="s">
        <v>177</v>
      </c>
      <c r="D53" s="1439" t="s">
        <v>178</v>
      </c>
      <c r="E53" s="2354"/>
      <c r="F53" s="2354"/>
      <c r="G53" s="2354"/>
      <c r="H53" s="2375"/>
      <c r="I53" s="2191" t="str">
        <f>U52&amp;".1"</f>
        <v>....1</v>
      </c>
      <c r="J53" s="1439"/>
      <c r="K53" s="1439"/>
      <c r="L53" s="1439"/>
      <c r="M53" s="1445" t="s">
        <v>407</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175</v>
      </c>
      <c r="B54" s="1331" t="s">
        <v>176</v>
      </c>
      <c r="C54" s="1331" t="s">
        <v>177</v>
      </c>
      <c r="D54" s="1331" t="s">
        <v>178</v>
      </c>
      <c r="E54" s="2354"/>
      <c r="F54" s="2354"/>
      <c r="G54" s="2354"/>
      <c r="H54" s="2375"/>
      <c r="I54" s="2165"/>
      <c r="J54" s="2191" t="str">
        <f>I53&amp;".1"</f>
        <v>....1.1</v>
      </c>
      <c r="K54" s="1331"/>
      <c r="L54" s="1331"/>
      <c r="M54" s="1374" t="s">
        <v>410</v>
      </c>
      <c r="Q54" s="2321"/>
      <c r="R54" s="2321">
        <v>1</v>
      </c>
      <c r="S54" s="582"/>
      <c r="T54" s="421"/>
      <c r="U54" s="1400" t="str">
        <f>$J54</f>
        <v>....1.1</v>
      </c>
      <c r="V54" s="350" t="s">
        <v>411</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412</v>
      </c>
      <c r="AS54" s="564"/>
      <c r="AT54" s="564" t="str">
        <f>IF(V54="","",V54)</f>
        <v>Группа потребителей</v>
      </c>
      <c r="AU54" s="564"/>
      <c r="AV54" s="564"/>
      <c r="AW54" s="1219">
        <v>21</v>
      </c>
    </row>
    <row customHeight="1" ht="22.049999999999997">
      <c r="A55" s="1331" t="s">
        <v>175</v>
      </c>
      <c r="B55" s="1331" t="s">
        <v>176</v>
      </c>
      <c r="C55" s="1331" t="s">
        <v>177</v>
      </c>
      <c r="D55" s="1331" t="s">
        <v>178</v>
      </c>
      <c r="E55" s="2354"/>
      <c r="F55" s="2354"/>
      <c r="G55" s="2354"/>
      <c r="H55" s="2375"/>
      <c r="I55" s="2165"/>
      <c r="J55" s="2165"/>
      <c r="K55" s="2191" t="str">
        <f>J54&amp;".1"</f>
        <v>....1.1.1</v>
      </c>
      <c r="L55" s="203"/>
      <c r="M55" s="1374" t="s">
        <v>413</v>
      </c>
      <c r="Q55" s="2321"/>
      <c r="R55" s="2321"/>
      <c r="S55" s="582">
        <v>1</v>
      </c>
      <c r="T55" s="421"/>
      <c r="U55" s="1400" t="str">
        <f>$K55</f>
        <v>....1.1.1</v>
      </c>
      <c r="V55" s="1411"/>
      <c r="W55" s="364"/>
      <c r="X55" s="815"/>
      <c r="Y55" s="815"/>
      <c r="Z55" s="815"/>
      <c r="AA55" s="815"/>
      <c r="AB55" s="1469"/>
      <c r="AC55" s="2329"/>
      <c r="AD55" s="2171" t="s">
        <v>62</v>
      </c>
      <c r="AE55" s="2329"/>
      <c r="AF55" s="2171" t="s">
        <v>62</v>
      </c>
      <c r="AG55" s="1471"/>
      <c r="AH55" s="815"/>
      <c r="AI55" s="815"/>
      <c r="AJ55" s="815"/>
      <c r="AK55" s="1321"/>
      <c r="AL55" s="2329"/>
      <c r="AM55" s="2171" t="s">
        <v>62</v>
      </c>
      <c r="AN55" s="2329"/>
      <c r="AO55" s="2171" t="s">
        <v>62</v>
      </c>
      <c r="AP55" s="1412"/>
      <c r="AQ55" s="1371" t="s">
        <v>453</v>
      </c>
      <c r="AR55" s="575">
        <f>STRCHECKDATE(X57:AP57)</f>
      </c>
      <c r="AS55" s="564"/>
      <c r="AT55" s="564" t="str">
        <f>IF(V55="","",V55)</f>
        <v/>
      </c>
      <c r="AU55" s="564"/>
      <c r="AV55" s="564"/>
      <c r="AW55" s="1219">
        <v>21</v>
      </c>
    </row>
    <row customHeight="1" ht="11.549999999999999">
      <c r="A56" s="1331" t="s">
        <v>175</v>
      </c>
      <c r="B56" s="1331" t="s">
        <v>176</v>
      </c>
      <c r="C56" s="1331" t="s">
        <v>177</v>
      </c>
      <c r="D56" s="1331" t="s">
        <v>178</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454</v>
      </c>
      <c r="AR56" s="575">
        <f>STRCHECKDATE(X58:AP58)</f>
      </c>
      <c r="AS56" s="564"/>
      <c r="AT56" s="564" t="str">
        <f>IF(V56="","",V56)</f>
        <v/>
      </c>
      <c r="AU56" s="564"/>
      <c r="AV56" s="564"/>
      <c r="AW56" s="1219">
        <v>11</v>
      </c>
    </row>
    <row customHeight="1" ht="0">
      <c r="A57" s="1331" t="s">
        <v>175</v>
      </c>
      <c r="B57" s="1331" t="s">
        <v>176</v>
      </c>
      <c r="C57" s="1331" t="s">
        <v>177</v>
      </c>
      <c r="D57" s="1331" t="s">
        <v>178</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175</v>
      </c>
      <c r="B58" s="1331" t="s">
        <v>176</v>
      </c>
      <c r="C58" s="1331" t="s">
        <v>177</v>
      </c>
      <c r="D58" s="1331" t="s">
        <v>178</v>
      </c>
      <c r="E58" s="2354"/>
      <c r="F58" s="2354"/>
      <c r="G58" s="2354"/>
      <c r="H58" s="2375"/>
      <c r="I58" s="2165"/>
      <c r="J58" s="2165"/>
      <c r="K58" s="2191"/>
      <c r="L58" s="1331"/>
      <c r="M58" s="1374"/>
      <c r="Q58" s="2321"/>
      <c r="R58" s="2321"/>
      <c r="S58" s="1395"/>
      <c r="T58" s="420"/>
      <c r="U58" s="1342"/>
      <c r="V58" s="352" t="s">
        <v>455</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175</v>
      </c>
      <c r="B59" s="1331" t="s">
        <v>176</v>
      </c>
      <c r="C59" s="1331" t="s">
        <v>177</v>
      </c>
      <c r="D59" s="1331" t="s">
        <v>178</v>
      </c>
      <c r="E59" s="2354"/>
      <c r="F59" s="2354"/>
      <c r="G59" s="2354"/>
      <c r="H59" s="2375"/>
      <c r="I59" s="2165"/>
      <c r="J59" s="2191"/>
      <c r="K59" s="1331"/>
      <c r="L59" s="1331"/>
      <c r="M59" s="1374"/>
      <c r="Q59" s="2321"/>
      <c r="R59" s="2321"/>
      <c r="S59" s="1395"/>
      <c r="T59" s="420"/>
      <c r="U59" s="1342"/>
      <c r="V59" s="351" t="s">
        <v>415</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175</v>
      </c>
      <c r="B60" s="1331" t="s">
        <v>176</v>
      </c>
      <c r="C60" s="1331" t="s">
        <v>177</v>
      </c>
      <c r="D60" s="1331" t="s">
        <v>178</v>
      </c>
      <c r="E60" s="2354"/>
      <c r="F60" s="2354"/>
      <c r="G60" s="2354"/>
      <c r="H60" s="2375"/>
      <c r="I60" s="2191"/>
      <c r="J60" s="1331"/>
      <c r="K60" s="1331"/>
      <c r="L60" s="1331"/>
      <c r="M60" s="1374"/>
      <c r="Q60" s="2321"/>
      <c r="R60" s="1395"/>
      <c r="S60" s="1395"/>
      <c r="T60" s="420"/>
      <c r="U60" s="1342"/>
      <c r="V60" s="429" t="s">
        <v>416</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175</v>
      </c>
      <c r="B61" s="1331" t="s">
        <v>176</v>
      </c>
      <c r="C61" s="1331" t="s">
        <v>177</v>
      </c>
      <c r="D61" s="1331" t="s">
        <v>178</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976" customFormat="1" customHeight="1" ht="0">
      <c r="A62" s="1439" t="s">
        <v>175</v>
      </c>
      <c r="B62" s="1439" t="s">
        <v>176</v>
      </c>
      <c r="C62" s="1439" t="s">
        <v>177</v>
      </c>
      <c r="D62" s="1438"/>
      <c r="E62" s="2354"/>
      <c r="F62" s="2354"/>
      <c r="G62" s="2353"/>
      <c r="H62" s="1438"/>
      <c r="I62" s="1438"/>
      <c r="J62" s="1438"/>
      <c r="K62" s="1438"/>
      <c r="L62" s="1438"/>
      <c r="M62" s="1441"/>
      <c r="N62" s="1442"/>
      <c r="O62" s="1442"/>
      <c r="P62" s="415"/>
      <c r="Q62" s="1380"/>
      <c r="R62" s="1381"/>
      <c r="S62" s="1380"/>
      <c r="T62" s="1380"/>
      <c r="U62" s="1386"/>
      <c r="V62" s="1389" t="s">
        <v>418</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976" customFormat="1" customHeight="1" ht="0">
      <c r="A63" s="1439" t="s">
        <v>175</v>
      </c>
      <c r="B63" s="1439" t="s">
        <v>176</v>
      </c>
      <c r="C63" s="1438"/>
      <c r="D63" s="1438"/>
      <c r="E63" s="2354"/>
      <c r="F63" s="2353"/>
      <c r="G63" s="1438"/>
      <c r="H63" s="1438"/>
      <c r="I63" s="1438"/>
      <c r="J63" s="1438"/>
      <c r="K63" s="1438"/>
      <c r="L63" s="1438"/>
      <c r="M63" s="1441"/>
      <c r="N63" s="1443"/>
      <c r="O63" s="1443"/>
      <c r="P63" s="415"/>
      <c r="Q63" s="1380"/>
      <c r="R63" s="1381"/>
      <c r="S63" s="1380"/>
      <c r="T63" s="1380"/>
      <c r="U63" s="1386"/>
      <c r="V63" s="1389" t="s">
        <v>255</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976" customFormat="1" customHeight="1" ht="0">
      <c r="A64" s="1439" t="s">
        <v>175</v>
      </c>
      <c r="B64" s="1439"/>
      <c r="C64" s="1439"/>
      <c r="D64" s="1439"/>
      <c r="E64" s="2353"/>
      <c r="F64" s="1439"/>
      <c r="G64" s="1439"/>
      <c r="H64" s="1439"/>
      <c r="I64" s="1439"/>
      <c r="J64" s="1439"/>
      <c r="K64" s="1439"/>
      <c r="L64" s="1439"/>
      <c r="M64" s="1445"/>
      <c r="N64" s="1443"/>
      <c r="O64" s="1443"/>
      <c r="P64" s="415"/>
      <c r="Q64" s="444"/>
      <c r="R64" s="1408"/>
      <c r="S64" s="444"/>
      <c r="T64" s="444"/>
      <c r="U64" s="1386"/>
      <c r="V64" s="1389" t="s">
        <v>256</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976"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257</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83</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1DB3CA-5883-18E3-465B-0.5907AD62}" mc:Ignorable="x14ac xr xr2 xr3">
  <sheetPr>
    <tabColor rgb="FFCCCCFF"/>
  </sheetPr>
  <dimension ref="A1:Q79"/>
  <sheetViews>
    <sheetView topLeftCell="A1" showGridLines="0" zoomScale="90" workbookViewId="0">
      <selection activeCell="L63" sqref="L63"/>
    </sheetView>
  </sheetViews>
  <sheetFormatPr defaultColWidth="9.140625" customHeight="1" defaultRowHeight="11.25"/>
  <cols>
    <col min="1" max="1" style="2842" width="10.7109375" hidden="1" customWidth="1"/>
    <col min="2" max="2" style="2856" width="10.7109375" hidden="1" customWidth="1"/>
    <col min="3" max="3" style="2855" width="3.00390625" customWidth="1"/>
    <col min="4" max="4" style="5468" width="1.00390625" customWidth="1"/>
    <col min="5" max="6" style="5468" width="55.00390625" customWidth="1"/>
    <col min="7" max="7" style="6132" width="1.00390625" customWidth="1"/>
    <col min="8" max="8" style="5468" width="18.00390625" hidden="1" customWidth="1"/>
    <col min="9" max="9" style="2831" width="59.00390625" customWidth="1"/>
    <col min="10" max="10" style="5416" width="52.140625" hidden="1" customWidth="1"/>
    <col min="11" max="11" style="5468" width="8.00390625" customWidth="1"/>
    <col min="12" max="12" style="5468" width="77.00390625" customWidth="1"/>
    <col min="13" max="16" style="5468" width="8.00390625" customWidth="1"/>
    <col min="17" max="17" style="5468" width="12.00390625" hidden="1" customWidth="1"/>
  </cols>
  <sheetData>
    <row s="4884" customFormat="1" customHeight="1" ht="3">
      <c r="A1" s="847"/>
      <c r="B1" s="305"/>
      <c r="F1" s="306" t="s">
        <v>13</v>
      </c>
      <c r="G1" s="475"/>
      <c r="H1" s="135"/>
      <c r="I1" s="475"/>
      <c r="J1" s="935"/>
      <c r="Q1" s="306" t="s">
        <v>14</v>
      </c>
    </row>
    <row s="5712" customFormat="1" customHeight="1" ht="14.25">
      <c r="A2" s="847"/>
      <c r="B2" s="162"/>
      <c r="E2" s="1804" t="str">
        <f>code</f>
        <v>Код отчёта: PP108.OPEN.INFO.PRICE.HOTVSNA.EIAS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426" customFormat="1" customHeight="1" ht="6.3">
      <c r="A4" s="848"/>
      <c r="B4" s="296"/>
      <c r="C4" s="297"/>
      <c r="D4" s="298"/>
      <c r="E4" s="307"/>
      <c r="F4" s="308"/>
      <c r="G4" s="835"/>
      <c r="H4" s="473"/>
      <c r="I4" s="475"/>
      <c r="J4" s="938"/>
      <c r="Q4" s="300">
        <v>6</v>
      </c>
    </row>
    <row customHeight="1" ht="39.75">
      <c r="D5" s="139"/>
      <c r="E5" s="2159" t="str">
        <f>NameTemplatesInTitle</f>
        <v>Показатели, подлежащие раскрытию в сфере горячего водоснабжения (цены и тарифы)</v>
      </c>
      <c r="F5" s="2160"/>
      <c r="G5" s="836"/>
      <c r="J5" s="939"/>
      <c r="Q5" s="138">
        <v>38</v>
      </c>
    </row>
    <row s="3426"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426" customFormat="1" customHeight="1" ht="6.3">
      <c r="A8" s="849"/>
      <c r="B8" s="296"/>
      <c r="C8" s="297"/>
      <c r="D8" s="303"/>
      <c r="E8" s="301"/>
      <c r="F8" s="304"/>
      <c r="G8" s="141"/>
      <c r="H8" s="473"/>
      <c r="I8" s="475"/>
      <c r="J8" s="941"/>
      <c r="Q8" s="300">
        <v>6</v>
      </c>
    </row>
    <row s="546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426" customFormat="1" customHeight="1" ht="24" hidden="1">
      <c r="A10" s="849"/>
      <c r="B10" s="490"/>
      <c r="C10" s="491"/>
      <c r="D10" s="303"/>
      <c r="E10" s="1229" t="s">
        <v>18</v>
      </c>
      <c r="F10" s="2130" t="s">
        <v>19</v>
      </c>
      <c r="G10" s="141"/>
      <c r="H10" s="473"/>
      <c r="I10" s="475"/>
      <c r="J10" s="941"/>
      <c r="Q10" s="494">
        <v>24</v>
      </c>
    </row>
    <row customHeight="1" ht="22.5">
      <c r="A11" s="2162" t="s">
        <v>20</v>
      </c>
      <c r="D11" s="139"/>
      <c r="E11" s="1229" t="s">
        <v>21</v>
      </c>
      <c r="F11" s="2799">
        <v>45292.48039351852</v>
      </c>
      <c r="G11" s="141"/>
      <c r="H11" s="837" t="s">
        <v>22</v>
      </c>
      <c r="J11" s="940" t="s">
        <v>23</v>
      </c>
      <c r="Q11" s="138">
        <v>0</v>
      </c>
    </row>
    <row customHeight="1" ht="22.5">
      <c r="A12" s="2162"/>
      <c r="D12" s="139"/>
      <c r="E12" s="1229" t="s">
        <v>24</v>
      </c>
      <c r="F12" s="2799">
        <v>47118.480462962965</v>
      </c>
      <c r="G12" s="137"/>
      <c r="J12" s="940" t="s">
        <v>25</v>
      </c>
      <c r="Q12" s="138">
        <v>0</v>
      </c>
    </row>
    <row s="5468" customFormat="1" customHeight="1" ht="22.5" hidden="1">
      <c r="A13" s="852" t="s">
        <v>26</v>
      </c>
      <c r="B13" s="162"/>
      <c r="C13" s="472"/>
      <c r="D13" s="474"/>
      <c r="E13" s="1839" t="s">
        <v>27</v>
      </c>
      <c r="F13" s="1796" t="s">
        <v>28</v>
      </c>
      <c r="G13" s="141"/>
      <c r="H13" s="834"/>
      <c r="I13" s="475"/>
      <c r="J13" s="1840" t="s">
        <v>29</v>
      </c>
      <c r="Q13" s="473">
        <v>0</v>
      </c>
    </row>
    <row s="5468" customFormat="1" customHeight="1" ht="27" hidden="1">
      <c r="A14" s="852" t="s">
        <v>30</v>
      </c>
      <c r="B14" s="162"/>
      <c r="C14" s="472"/>
      <c r="D14" s="474"/>
      <c r="E14" s="1229" t="s">
        <v>31</v>
      </c>
      <c r="F14" s="1831"/>
      <c r="G14" s="141"/>
      <c r="H14" s="834"/>
      <c r="I14" s="475"/>
      <c r="J14" s="940" t="s">
        <v>32</v>
      </c>
      <c r="Q14" s="473">
        <v>0</v>
      </c>
    </row>
    <row s="5468" customFormat="1" customHeight="1" ht="19.5" hidden="1">
      <c r="A15" s="852" t="s">
        <v>33</v>
      </c>
      <c r="B15" s="162"/>
      <c r="C15" s="472"/>
      <c r="D15" s="474"/>
      <c r="E15" s="1229" t="s">
        <v>34</v>
      </c>
      <c r="F15" s="1831"/>
      <c r="G15" s="141"/>
      <c r="H15" s="834"/>
      <c r="I15" s="475"/>
      <c r="J15" s="940" t="s">
        <v>35</v>
      </c>
      <c r="Q15" s="473">
        <v>0</v>
      </c>
    </row>
    <row s="3426" customFormat="1" customHeight="1" ht="6.3">
      <c r="A16" s="849"/>
      <c r="B16" s="296"/>
      <c r="C16" s="297"/>
      <c r="D16" s="303"/>
      <c r="E16" s="301"/>
      <c r="F16" s="304"/>
      <c r="G16" s="141"/>
      <c r="H16" s="473"/>
      <c r="I16" s="475"/>
      <c r="J16" s="938"/>
      <c r="Q16" s="300">
        <v>6</v>
      </c>
    </row>
    <row customHeight="1" ht="21">
      <c r="D17" s="139"/>
      <c r="E17" s="455" t="s">
        <v>36</v>
      </c>
      <c r="F17" s="280" t="s">
        <v>37</v>
      </c>
      <c r="G17" s="137"/>
      <c r="H17" s="837" t="s">
        <v>22</v>
      </c>
      <c r="Q17" s="138">
        <v>20</v>
      </c>
    </row>
    <row customHeight="1" ht="25.5" hidden="1">
      <c r="D18" s="139"/>
      <c r="E18" s="1839" t="s">
        <v>38</v>
      </c>
      <c r="F18" s="1797"/>
      <c r="G18" s="137"/>
      <c r="I18" s="838"/>
      <c r="J18" s="2161" t="s">
        <v>39</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97"/>
      <c r="G19" s="137"/>
      <c r="I19" s="838"/>
      <c r="J19" s="2161"/>
      <c r="Q19" s="138">
        <v>0</v>
      </c>
    </row>
    <row customHeight="1" ht="22.5">
      <c r="D20" s="139"/>
      <c r="E20" s="140"/>
      <c r="F20" s="334" t="str">
        <f>"Первичное "&amp;IF(TEMPLATE_GROUP="P","установление тарифов","предложение по тарифам")</f>
        <v>Первичное установление тарифов</v>
      </c>
      <c r="G20" s="137"/>
      <c r="I20" s="458"/>
      <c r="J20" s="939" t="s">
        <v>40</v>
      </c>
      <c r="Q20" s="138">
        <v>0</v>
      </c>
    </row>
    <row customHeight="1" ht="19.5">
      <c r="D21" s="139"/>
      <c r="E21" s="455" t="str">
        <f>"Дата "&amp;IF(TEMPLATE_GROUP="P","документа","подачи заявления")&amp;" об утверждении тарифов"</f>
        <v>Дата документа об утверждении тарифов</v>
      </c>
      <c r="F21" s="2799">
        <v>46008.48059027778</v>
      </c>
      <c r="G21" s="137"/>
      <c r="I21" s="839"/>
      <c r="Q21" s="138">
        <v>0</v>
      </c>
    </row>
    <row customHeight="1" ht="19.5">
      <c r="D22" s="139"/>
      <c r="E22" s="455" t="str">
        <f>"Номер "&amp;IF(TEMPLATE_GROUP="P","документа","подачи заявления")&amp;" об утверждении тарифов"</f>
        <v>Номер документа об утверждении тарифов</v>
      </c>
      <c r="F22" s="280" t="s">
        <v>41</v>
      </c>
      <c r="G22" s="137"/>
      <c r="I22" s="839"/>
      <c r="Q22" s="138">
        <v>0</v>
      </c>
    </row>
    <row customHeight="1" ht="22.5">
      <c r="D23" s="139"/>
      <c r="E23" s="455" t="s">
        <v>42</v>
      </c>
      <c r="F23" s="280" t="s">
        <v>43</v>
      </c>
      <c r="G23" s="137"/>
      <c r="Q23" s="138">
        <v>0</v>
      </c>
    </row>
    <row customHeight="1" ht="19.5">
      <c r="D24" s="139"/>
      <c r="E24" s="455" t="s">
        <v>44</v>
      </c>
      <c r="F24" s="2810" t="s">
        <v>45</v>
      </c>
      <c r="G24" s="137"/>
      <c r="Q24" s="138">
        <v>0</v>
      </c>
    </row>
    <row customHeight="1" ht="22.5" hidden="1">
      <c r="D25" s="139"/>
      <c r="E25" s="140"/>
      <c r="F25" s="334" t="str">
        <f>"Изменение "&amp;IF(TEMPLATE_GROUP="P","тарифов","предложения по тарифам")</f>
        <v>Изменение тарифов</v>
      </c>
      <c r="G25" s="137"/>
      <c r="J25" s="939" t="s">
        <v>46</v>
      </c>
      <c r="Q25" s="138">
        <v>0</v>
      </c>
    </row>
    <row customHeight="1" ht="19.5" hidden="1">
      <c r="D26" s="139"/>
      <c r="E26" s="455" t="str">
        <f>"Дата "&amp;IF(TEMPLATE_GROUP="P","принятия решения","подачи заявления")&amp;" об изменении тарифов"</f>
        <v>Дата принятия решения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принятия решения об изменении тарифов</v>
      </c>
      <c r="F27" s="282"/>
      <c r="G27" s="137"/>
      <c r="Q27" s="138">
        <v>0</v>
      </c>
    </row>
    <row customHeight="1" ht="24.75" hidden="1">
      <c r="D28" s="139"/>
      <c r="E28" s="455" t="s">
        <v>47</v>
      </c>
      <c r="F28" s="282"/>
      <c r="G28" s="137"/>
      <c r="Q28" s="138">
        <v>0</v>
      </c>
    </row>
    <row customHeight="1" ht="19.5" hidden="1">
      <c r="D29" s="139"/>
      <c r="E29" s="455" t="s">
        <v>44</v>
      </c>
      <c r="F29" s="282"/>
      <c r="G29" s="137"/>
      <c r="Q29" s="138">
        <v>0</v>
      </c>
    </row>
    <row s="3426"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48</v>
      </c>
      <c r="G31" s="840"/>
      <c r="Q31" s="138">
        <v>20</v>
      </c>
    </row>
    <row customHeight="1" ht="21" hidden="1">
      <c r="C32" s="142"/>
      <c r="D32" s="143"/>
      <c r="E32" s="456" t="s">
        <v>49</v>
      </c>
      <c r="F32" s="281"/>
      <c r="G32" s="840"/>
      <c r="Q32" s="138">
        <v>20</v>
      </c>
    </row>
    <row customHeight="1" ht="21">
      <c r="C33" s="142"/>
      <c r="D33" s="143"/>
      <c r="E33" s="455" t="s">
        <v>50</v>
      </c>
      <c r="F33" s="281" t="s">
        <v>51</v>
      </c>
      <c r="G33" s="840"/>
      <c r="Q33" s="138">
        <v>20</v>
      </c>
    </row>
    <row customHeight="1" ht="21">
      <c r="C34" s="142"/>
      <c r="D34" s="143"/>
      <c r="E34" s="455" t="s">
        <v>52</v>
      </c>
      <c r="F34" s="281" t="s">
        <v>53</v>
      </c>
      <c r="G34" s="840"/>
      <c r="H34" s="144"/>
      <c r="Q34" s="138">
        <v>20</v>
      </c>
    </row>
    <row s="3426" customFormat="1" customHeight="1" ht="11.549999999999999">
      <c r="A35" s="849"/>
      <c r="B35" s="296"/>
      <c r="C35" s="297"/>
      <c r="D35" s="303"/>
      <c r="E35" s="301"/>
      <c r="F35" s="304"/>
      <c r="G35" s="141"/>
      <c r="H35" s="473"/>
      <c r="I35" s="475"/>
      <c r="J35" s="938"/>
      <c r="Q35" s="300">
        <v>11</v>
      </c>
    </row>
    <row customHeight="1" ht="19.5" hidden="1">
      <c r="A36" s="943"/>
      <c r="D36" s="143"/>
      <c r="E36" s="455" t="s">
        <v>54</v>
      </c>
      <c r="F36" s="412"/>
      <c r="G36" s="141"/>
      <c r="Q36" s="138">
        <v>0</v>
      </c>
    </row>
    <row customHeight="1" ht="21">
      <c r="A37" s="943"/>
      <c r="D37" s="143"/>
      <c r="E37" s="455" t="s">
        <v>55</v>
      </c>
      <c r="F37" s="2820" t="s">
        <v>56</v>
      </c>
      <c r="G37" s="141"/>
      <c r="Q37" s="138">
        <v>20</v>
      </c>
    </row>
    <row s="3426" customFormat="1" customHeight="1" ht="6.3">
      <c r="A38" s="849"/>
      <c r="B38" s="296"/>
      <c r="C38" s="297"/>
      <c r="D38" s="298"/>
      <c r="E38" s="299"/>
      <c r="F38" s="1117"/>
      <c r="G38" s="137"/>
      <c r="H38" s="473"/>
      <c r="I38" s="475"/>
      <c r="J38" s="940"/>
      <c r="Q38" s="300">
        <v>6</v>
      </c>
    </row>
    <row customHeight="1" ht="36.75">
      <c r="A39" s="849"/>
      <c r="D39" s="139"/>
      <c r="E39" s="455" t="s">
        <v>57</v>
      </c>
      <c r="F39" s="774" t="s">
        <v>19</v>
      </c>
      <c r="G39" s="137"/>
      <c r="H39" s="837" t="s">
        <v>22</v>
      </c>
      <c r="Q39" s="138">
        <v>35</v>
      </c>
    </row>
    <row s="3426" customFormat="1" customHeight="1" ht="6" hidden="1">
      <c r="A40" s="848"/>
      <c r="B40" s="490"/>
      <c r="C40" s="491"/>
      <c r="D40" s="492"/>
      <c r="E40" s="493"/>
      <c r="F40" s="1117"/>
      <c r="G40" s="137"/>
      <c r="H40" s="473"/>
      <c r="I40" s="475"/>
      <c r="J40" s="940"/>
      <c r="Q40" s="494">
        <v>6</v>
      </c>
    </row>
    <row s="5468" customFormat="1" customHeight="1" ht="26.25" hidden="1">
      <c r="A41" s="852" t="s">
        <v>26</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4" t="s">
        <v>19</v>
      </c>
      <c r="G41" s="137"/>
      <c r="I41" s="475"/>
      <c r="J41" s="940"/>
      <c r="Q41" s="473">
        <v>0</v>
      </c>
    </row>
    <row s="3426" customFormat="1" customHeight="1" ht="6" hidden="1">
      <c r="A42" s="848"/>
      <c r="B42" s="490"/>
      <c r="C42" s="491"/>
      <c r="D42" s="492"/>
      <c r="E42" s="493"/>
      <c r="F42" s="1117"/>
      <c r="G42" s="137"/>
      <c r="H42" s="473"/>
      <c r="I42" s="475"/>
      <c r="J42" s="938"/>
      <c r="Q42" s="494">
        <v>0</v>
      </c>
    </row>
    <row s="5468" customFormat="1" customHeight="1" ht="27" hidden="1">
      <c r="A43" s="848"/>
      <c r="B43" s="477"/>
      <c r="C43" s="472"/>
      <c r="D43" s="474"/>
      <c r="E43" s="455" t="s">
        <v>58</v>
      </c>
      <c r="F43" s="774" t="s">
        <v>19</v>
      </c>
      <c r="G43" s="137"/>
      <c r="I43" s="475"/>
      <c r="J43" s="940"/>
      <c r="Q43" s="473">
        <v>0</v>
      </c>
    </row>
    <row s="5468" customFormat="1" customHeight="1" ht="27" hidden="1">
      <c r="A44" s="848"/>
      <c r="B44" s="477"/>
      <c r="C44" s="472"/>
      <c r="D44" s="474"/>
      <c r="E44" s="1229" t="s">
        <v>59</v>
      </c>
      <c r="F44" s="1952"/>
      <c r="G44" s="137"/>
      <c r="I44" s="475"/>
      <c r="J44" s="940"/>
      <c r="Q44" s="473">
        <v>0</v>
      </c>
    </row>
    <row s="3426" customFormat="1" customHeight="1" ht="6" hidden="1">
      <c r="A45" s="848"/>
      <c r="B45" s="490"/>
      <c r="C45" s="491"/>
      <c r="D45" s="492"/>
      <c r="E45" s="493"/>
      <c r="F45" s="1117"/>
      <c r="G45" s="137"/>
      <c r="H45" s="473"/>
      <c r="I45" s="475"/>
      <c r="J45" s="940"/>
      <c r="Q45" s="494">
        <v>0</v>
      </c>
    </row>
    <row s="3426" customFormat="1" customHeight="1" ht="24.75" hidden="1">
      <c r="A46" s="848"/>
      <c r="B46" s="490"/>
      <c r="C46" s="491"/>
      <c r="D46" s="492"/>
      <c r="E46" s="1229" t="s">
        <v>60</v>
      </c>
      <c r="F46" s="774" t="s">
        <v>19</v>
      </c>
      <c r="G46" s="137"/>
      <c r="H46" s="473"/>
      <c r="I46" s="475"/>
      <c r="J46" s="940"/>
      <c r="Q46" s="494">
        <v>0</v>
      </c>
    </row>
    <row s="5468" customFormat="1" customHeight="1" ht="24.75" hidden="1">
      <c r="A47" s="848"/>
      <c r="B47" s="477"/>
      <c r="C47" s="472"/>
      <c r="D47" s="474"/>
      <c r="E47" s="1229" t="s">
        <v>61</v>
      </c>
      <c r="F47" s="774" t="s">
        <v>19</v>
      </c>
      <c r="G47" s="137"/>
      <c r="I47" s="475"/>
      <c r="J47" s="940"/>
      <c r="Q47" s="473">
        <v>0</v>
      </c>
    </row>
    <row s="3426" customFormat="1" customHeight="1" ht="6">
      <c r="A48" s="848"/>
      <c r="B48" s="296"/>
      <c r="C48" s="297"/>
      <c r="D48" s="298"/>
      <c r="E48" s="299"/>
      <c r="F48" s="1117"/>
      <c r="G48" s="137"/>
      <c r="H48" s="473"/>
      <c r="I48" s="475"/>
      <c r="J48" s="940"/>
      <c r="Q48" s="300">
        <v>0</v>
      </c>
    </row>
    <row customHeight="1" ht="29.25">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4" t="s">
        <v>62</v>
      </c>
      <c r="G49" s="137"/>
      <c r="Q49" s="138">
        <v>0</v>
      </c>
    </row>
    <row s="3426" customFormat="1" customHeight="1" ht="6" hidden="1">
      <c r="A50" s="849"/>
      <c r="B50" s="490"/>
      <c r="C50" s="491"/>
      <c r="D50" s="303"/>
      <c r="E50" s="301"/>
      <c r="F50" s="304"/>
      <c r="G50" s="141"/>
      <c r="H50" s="473"/>
      <c r="I50" s="475"/>
      <c r="J50" s="940"/>
      <c r="Q50" s="494">
        <v>0</v>
      </c>
    </row>
    <row s="5468" customFormat="1" customHeight="1" ht="28.5" hidden="1">
      <c r="A51" s="850"/>
      <c r="B51" s="477"/>
      <c r="C51" s="594"/>
      <c r="D51" s="595"/>
      <c r="E51" s="455" t="s">
        <v>63</v>
      </c>
      <c r="F51" s="774" t="s">
        <v>19</v>
      </c>
      <c r="G51" s="596"/>
      <c r="I51" s="598"/>
      <c r="J51" s="942"/>
      <c r="P51" s="599"/>
      <c r="Q51" s="597">
        <v>0</v>
      </c>
    </row>
    <row s="3426" customFormat="1" customHeight="1" ht="6" hidden="1">
      <c r="A52" s="849"/>
      <c r="B52" s="490"/>
      <c r="C52" s="491"/>
      <c r="D52" s="303"/>
      <c r="E52" s="301"/>
      <c r="F52" s="304"/>
      <c r="G52" s="141"/>
      <c r="H52" s="473"/>
      <c r="I52" s="475"/>
      <c r="J52" s="938"/>
      <c r="Q52" s="494">
        <v>0</v>
      </c>
    </row>
    <row s="5468" customFormat="1" customHeight="1" ht="27" hidden="1">
      <c r="A53" s="850"/>
      <c r="B53" s="477"/>
      <c r="C53" s="594"/>
      <c r="D53" s="595"/>
      <c r="E53" s="455" t="s">
        <v>64</v>
      </c>
      <c r="F53" s="1112" t="s">
        <v>19</v>
      </c>
      <c r="G53" s="596"/>
      <c r="I53" s="598"/>
      <c r="J53" s="942"/>
      <c r="P53" s="599"/>
      <c r="Q53" s="597">
        <v>0</v>
      </c>
    </row>
    <row s="5468" customFormat="1" customHeight="1" ht="27" hidden="1">
      <c r="A54" s="850"/>
      <c r="B54" s="477"/>
      <c r="C54" s="594"/>
      <c r="D54" s="595"/>
      <c r="E54" s="455" t="s">
        <v>65</v>
      </c>
      <c r="F54" s="1838"/>
      <c r="G54" s="596"/>
      <c r="I54" s="598"/>
      <c r="J54" s="942"/>
      <c r="P54" s="599"/>
      <c r="Q54" s="597">
        <v>0</v>
      </c>
    </row>
    <row s="3426" customFormat="1" customHeight="1" ht="6" hidden="1">
      <c r="A55" s="849"/>
      <c r="B55" s="490"/>
      <c r="C55" s="491"/>
      <c r="D55" s="303"/>
      <c r="E55" s="301"/>
      <c r="F55" s="304"/>
      <c r="G55" s="141"/>
      <c r="H55" s="473"/>
      <c r="I55" s="475"/>
      <c r="J55" s="938"/>
      <c r="Q55" s="494">
        <v>0</v>
      </c>
    </row>
    <row s="5468" customFormat="1" customHeight="1" ht="25.5" hidden="1">
      <c r="A56" s="850"/>
      <c r="B56" s="477"/>
      <c r="C56" s="594"/>
      <c r="D56" s="595"/>
      <c r="E56" s="455" t="s">
        <v>66</v>
      </c>
      <c r="F56" s="1112" t="s">
        <v>19</v>
      </c>
      <c r="G56" s="596"/>
      <c r="I56" s="598"/>
      <c r="J56" s="942"/>
      <c r="P56" s="599"/>
      <c r="Q56" s="597">
        <v>0</v>
      </c>
    </row>
    <row s="3426" customFormat="1" customHeight="1" ht="6" hidden="1">
      <c r="A57" s="849"/>
      <c r="B57" s="490"/>
      <c r="C57" s="491"/>
      <c r="D57" s="303"/>
      <c r="E57" s="301"/>
      <c r="F57" s="304"/>
      <c r="G57" s="141"/>
      <c r="H57" s="473"/>
      <c r="I57" s="475"/>
      <c r="J57" s="938"/>
      <c r="Q57" s="494">
        <v>0</v>
      </c>
    </row>
    <row s="5468" customFormat="1" customHeight="1" ht="15" hidden="1">
      <c r="A58" s="850"/>
      <c r="B58" s="477"/>
      <c r="C58" s="594"/>
      <c r="D58" s="595"/>
      <c r="E58" s="455" t="s">
        <v>67</v>
      </c>
      <c r="F58" s="1112" t="s">
        <v>62</v>
      </c>
      <c r="G58" s="596"/>
      <c r="I58" s="598"/>
      <c r="J58" s="942"/>
      <c r="P58" s="599"/>
      <c r="Q58" s="597">
        <v>0</v>
      </c>
    </row>
    <row s="546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3"/>
      <c r="G59" s="596"/>
      <c r="I59" s="598"/>
      <c r="J59" s="942"/>
      <c r="P59" s="599"/>
      <c r="Q59" s="597">
        <v>0</v>
      </c>
    </row>
    <row s="5468" customFormat="1" customHeight="1" ht="15" hidden="1">
      <c r="A60" s="850"/>
      <c r="B60" s="477"/>
      <c r="C60" s="594"/>
      <c r="D60" s="595"/>
      <c r="E60" s="1229" t="s">
        <v>68</v>
      </c>
      <c r="F60" s="1215"/>
      <c r="G60" s="596"/>
      <c r="I60" s="598"/>
      <c r="J60" s="942"/>
      <c r="P60" s="599"/>
      <c r="Q60" s="597">
        <v>0</v>
      </c>
    </row>
    <row s="3426" customFormat="1" customHeight="1" ht="6" hidden="1">
      <c r="A61" s="849"/>
      <c r="B61" s="490"/>
      <c r="C61" s="491"/>
      <c r="D61" s="492"/>
      <c r="E61" s="493"/>
      <c r="F61" s="1117"/>
      <c r="G61" s="137"/>
      <c r="H61" s="473"/>
      <c r="I61" s="475"/>
      <c r="J61" s="940"/>
      <c r="Q61" s="494">
        <v>0</v>
      </c>
    </row>
    <row s="5468" customFormat="1" customHeight="1" ht="33.75" hidden="1">
      <c r="A62" s="849"/>
      <c r="B62" s="162"/>
      <c r="C62" s="472"/>
      <c r="D62" s="474"/>
      <c r="E62" s="1229" t="s">
        <v>69</v>
      </c>
      <c r="F62" s="1735" t="s">
        <v>62</v>
      </c>
      <c r="G62" s="137"/>
      <c r="H62" s="837" t="s">
        <v>22</v>
      </c>
      <c r="I62" s="475"/>
      <c r="J62" s="940"/>
      <c r="Q62" s="473">
        <v>0</v>
      </c>
    </row>
    <row s="3426" customFormat="1" customHeight="1" ht="6.3">
      <c r="A63" s="849"/>
      <c r="B63" s="296"/>
      <c r="C63" s="297"/>
      <c r="D63" s="303"/>
      <c r="E63" s="301"/>
      <c r="F63" s="304"/>
      <c r="G63" s="141"/>
      <c r="H63" s="473"/>
      <c r="I63" s="475"/>
      <c r="J63" s="938"/>
      <c r="Q63" s="300">
        <v>6</v>
      </c>
    </row>
    <row customHeight="1" ht="21">
      <c r="A64" s="851"/>
      <c r="B64" s="163"/>
      <c r="D64" s="146"/>
      <c r="E64" s="455" t="s">
        <v>70</v>
      </c>
      <c r="F64" s="280" t="s">
        <v>71</v>
      </c>
      <c r="G64" s="141"/>
      <c r="Q64" s="138">
        <v>20</v>
      </c>
    </row>
    <row customHeight="1" ht="21">
      <c r="A65" s="851"/>
      <c r="B65" s="163"/>
      <c r="D65" s="146"/>
      <c r="E65" s="455" t="s">
        <v>72</v>
      </c>
      <c r="F65" s="280" t="s">
        <v>73</v>
      </c>
      <c r="G65" s="141"/>
      <c r="Q65" s="138">
        <v>20</v>
      </c>
    </row>
    <row customHeight="1" ht="36.75">
      <c r="D66" s="139"/>
      <c r="E66" s="457" t="s">
        <v>74</v>
      </c>
      <c r="F66" s="1118"/>
      <c r="G66" s="137"/>
      <c r="Q66" s="138">
        <v>35</v>
      </c>
    </row>
    <row customHeight="1" ht="21">
      <c r="A67" s="851"/>
      <c r="D67" s="474"/>
      <c r="E67" s="455" t="s">
        <v>75</v>
      </c>
      <c r="F67" s="335" t="s">
        <v>76</v>
      </c>
      <c r="G67" s="141"/>
      <c r="Q67" s="138">
        <v>20</v>
      </c>
    </row>
    <row customHeight="1" ht="21">
      <c r="A68" s="851"/>
      <c r="B68" s="163"/>
      <c r="D68" s="146"/>
      <c r="E68" s="455" t="s">
        <v>77</v>
      </c>
      <c r="F68" s="335" t="s">
        <v>78</v>
      </c>
      <c r="G68" s="141"/>
      <c r="Q68" s="138">
        <v>20</v>
      </c>
    </row>
    <row customHeight="1" ht="21">
      <c r="A69" s="851"/>
      <c r="B69" s="163"/>
      <c r="D69" s="146"/>
      <c r="E69" s="455" t="s">
        <v>79</v>
      </c>
      <c r="F69" s="335" t="s">
        <v>80</v>
      </c>
      <c r="G69" s="141"/>
      <c r="Q69" s="138">
        <v>20</v>
      </c>
    </row>
    <row customHeight="1" ht="21">
      <c r="D70" s="474"/>
      <c r="E70" s="455" t="s">
        <v>81</v>
      </c>
      <c r="F70" s="2848" t="s">
        <v>82</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83</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AE1B267-0D46-79C1-D995-0.E9A50656}"/>
    <hyperlink ref="H17" location="Титульный!H9" display="Как заполнить?" tooltip="Помощь по работе с полями отчётной формы" xr:uid="{96C61D83-FAF5-1609-4A49-0.1A04E03}"/>
    <hyperlink ref="F24" r:id="rId4" xr:uid="{BEC05412-3524-93AC-8484-0.6752218C}"/>
    <hyperlink ref="H39" location="Титульный!H9" display="Как заполнить?" tooltip="Помощь по работе с полями отчётной формы" xr:uid="{14BA0734-EE8A-501B-658D-0.549B6293}"/>
    <hyperlink ref="H62" location="Титульный!H9" display="Как заполнить?" tooltip="Помощь по работе с полями отчётной формы" xr:uid="{DBA462FF-CD22-5D15-D43E-0.234ACE72}"/>
    <hyperlink ref="F70" r:id="rId5" xr:uid="{920F911B-72B7-1B06-C36C-0.13767EF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92464-E29E-3D22-581C-0.AD3B18D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4339" width="3.00390625" customWidth="1"/>
    <col min="17" max="17" style="3609" width="3.00390625" customWidth="1"/>
    <col min="18" max="18" style="5437" width="3.00390625" customWidth="1"/>
    <col min="19" max="19" style="6125" width="12.00390625" customWidth="1"/>
    <col min="20" max="20" style="5468" width="31.00390625" customWidth="1"/>
    <col min="21" max="21" style="5468" width="0.140625" customWidth="1"/>
    <col min="22" max="23" style="5468" width="21.7109375" hidden="1" customWidth="1"/>
    <col min="24" max="24" style="5468" width="11.7109375" hidden="1" customWidth="1"/>
    <col min="25" max="25" style="5468" width="3.7109375" hidden="1" customWidth="1"/>
    <col min="26" max="26" style="5468" width="11.7109375" hidden="1" customWidth="1"/>
    <col min="27" max="27" style="5468" width="8.57421875" hidden="1" customWidth="1"/>
    <col min="28" max="28" style="5468" width="5.421875" customWidth="1"/>
    <col min="29" max="30" style="5468" width="3.00390625" customWidth="1"/>
    <col min="31" max="31" style="5468" width="24.00390625" customWidth="1"/>
    <col min="32" max="32" style="5468" width="3.7109375" customWidth="1"/>
    <col min="33" max="34" style="5468" width="3.00390625" customWidth="1"/>
    <col min="35" max="35" style="5468" width="24.00390625" customWidth="1"/>
    <col min="36" max="36" style="5468" width="3.7109375" customWidth="1"/>
    <col min="37" max="38" style="5468" width="3.00390625" customWidth="1"/>
    <col min="39" max="39" style="5468" width="18.00390625" customWidth="1"/>
    <col min="40" max="41" style="5468" width="21.00390625" customWidth="1"/>
    <col min="42" max="42" style="5468" width="11.00390625" customWidth="1"/>
    <col min="43" max="43" style="5468" width="3.7109375" customWidth="1"/>
    <col min="44" max="44" style="5468" width="11.00390625" customWidth="1"/>
    <col min="45" max="45" style="5468" width="8.57421875" hidden="1" customWidth="1"/>
    <col min="46" max="46" style="5468" width="4.00390625" customWidth="1"/>
    <col min="47" max="47" style="5468" width="115.00390625" customWidth="1"/>
    <col min="48" max="52" style="4976" width="10.00390625" customWidth="1"/>
    <col min="53" max="53" style="546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124</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400</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401</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402</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403</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404</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405</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406</v>
      </c>
      <c r="AW5" s="564"/>
      <c r="AX5" s="564" t="str">
        <f>IF(T5="","",T5)</f>
        <v>Источник тепловой энергии  </v>
      </c>
      <c r="AY5" s="564"/>
      <c r="AZ5" s="564"/>
      <c r="BA5" s="1219">
        <v>0</v>
      </c>
    </row>
    <row s="4976" customFormat="1" customHeight="1" ht="0.75" hidden="1">
      <c r="A6" s="1407"/>
      <c r="B6" s="1407"/>
      <c r="C6" s="1407"/>
      <c r="D6" s="1407"/>
      <c r="E6" s="2323"/>
      <c r="F6" s="2323"/>
      <c r="G6" s="2323"/>
      <c r="H6" s="2323"/>
      <c r="I6" s="2320">
        <f>S5&amp;".1"</f>
      </c>
      <c r="J6" s="1407"/>
      <c r="K6" s="1407"/>
      <c r="L6" s="1410" t="s">
        <v>407</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976"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62</v>
      </c>
      <c r="Z8" s="2329"/>
      <c r="AA8" s="2171" t="s">
        <v>62</v>
      </c>
      <c r="AB8" s="2171" t="s">
        <v>19</v>
      </c>
      <c r="AC8" s="2390"/>
      <c r="AD8" s="2269">
        <v>1</v>
      </c>
      <c r="AE8" s="2391"/>
      <c r="AF8" s="2171" t="s">
        <v>19</v>
      </c>
      <c r="AG8" s="2390"/>
      <c r="AH8" s="2269">
        <v>1</v>
      </c>
      <c r="AI8" s="2391"/>
      <c r="AJ8" s="2171" t="s">
        <v>19</v>
      </c>
      <c r="AK8" s="375"/>
      <c r="AL8" s="1401">
        <v>1</v>
      </c>
      <c r="AM8" s="1462"/>
      <c r="AN8" s="815"/>
      <c r="AO8" s="1321"/>
      <c r="AP8" s="1798"/>
      <c r="AQ8" s="1523" t="s">
        <v>62</v>
      </c>
      <c r="AR8" s="1798"/>
      <c r="AS8" s="1523" t="s">
        <v>62</v>
      </c>
      <c r="AT8" s="1412"/>
      <c r="AU8" s="2317" t="s">
        <v>465</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466</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467</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468</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469</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976"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976"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976"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418</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976"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255</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976"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256</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62</v>
      </c>
      <c r="AR19" s="1800"/>
      <c r="AS19" s="1524" t="s">
        <v>62</v>
      </c>
      <c r="BA19" s="1219">
        <v>0</v>
      </c>
    </row>
    <row customHeight="1" ht="14.25" hidden="1">
      <c r="AV20" s="560"/>
      <c r="AW20" s="560"/>
      <c r="AX20" s="560"/>
      <c r="AY20" s="560"/>
      <c r="AZ20" s="560"/>
      <c r="BA20" s="1219">
        <v>0</v>
      </c>
    </row>
    <row customHeight="1" ht="14.25" hidden="1">
      <c r="O21" s="1431" t="s">
        <v>419</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842" customFormat="1" customHeight="1" ht="14.25" hidden="1">
      <c r="M23" s="1572"/>
      <c r="N23" s="1572"/>
      <c r="O23" s="1573" t="s">
        <v>420</v>
      </c>
      <c r="P23" s="1572"/>
      <c r="Q23" s="1574"/>
      <c r="R23" s="1574"/>
      <c r="Y23" s="1571" t="s">
        <v>422</v>
      </c>
      <c r="AA23" s="1571" t="s">
        <v>423</v>
      </c>
      <c r="AB23" s="1571" t="s">
        <v>470</v>
      </c>
      <c r="AE23" s="1571" t="s">
        <v>471</v>
      </c>
      <c r="AF23" s="1571" t="s">
        <v>470</v>
      </c>
      <c r="AI23" s="1571" t="s">
        <v>472</v>
      </c>
      <c r="AJ23" s="1571" t="s">
        <v>470</v>
      </c>
      <c r="AM23" s="1571" t="s">
        <v>473</v>
      </c>
      <c r="AQ23" s="1571" t="s">
        <v>422</v>
      </c>
      <c r="AS23" s="1571" t="s">
        <v>423</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Нарьян-Марское МУ ПОКиТС</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6011" customFormat="1" customHeight="1" ht="25.5">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УГРЦТ НАО</v>
      </c>
      <c r="W30" s="2315"/>
      <c r="X30" s="2315"/>
      <c r="Y30" s="2315"/>
      <c r="Z30" s="2315"/>
      <c r="AA30" s="390"/>
      <c r="AB30" s="2315" t="str">
        <f>IF(TITLE_NAME_OR_PR_CHANGE="",IF(TITLE_NAME_OR_PR="","",TITLE_NAME_OR_PR),TITLE_NAME_OR_PR_CHANGE)</f>
        <v>УГРЦТ НАО</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6011" customFormat="1" customHeight="1" ht="18.75">
      <c r="A31" s="1432"/>
      <c r="B31" s="1432"/>
      <c r="C31" s="1432"/>
      <c r="D31" s="1432"/>
      <c r="E31" s="1432"/>
      <c r="F31" s="1432"/>
      <c r="G31" s="1432"/>
      <c r="H31" s="1432"/>
      <c r="I31" s="1432"/>
      <c r="J31" s="1432"/>
      <c r="K31" s="1432"/>
      <c r="L31" s="1433"/>
      <c r="M31" s="1432"/>
      <c r="N31" s="1432"/>
      <c r="O31" s="1432"/>
      <c r="P31" s="1432"/>
      <c r="Q31" s="1432"/>
      <c r="S31" s="2314" t="s">
        <v>425</v>
      </c>
      <c r="T31" s="2314"/>
      <c r="U31" s="1436"/>
      <c r="V31" s="2328" t="str">
        <f>IF(TITLE_DATE_PR_CHANGE="",IF(TITLE_DATE_PR="","",TITLE_DATE_PR),TITLE_DATE_PR_CHANGE)</f>
        <v>46008.48059027778</v>
      </c>
      <c r="W31" s="2328"/>
      <c r="X31" s="2328"/>
      <c r="Y31" s="2328"/>
      <c r="Z31" s="2328"/>
      <c r="AA31" s="390"/>
      <c r="AB31" s="2328" t="str">
        <f>IF(TITLE_DATE_PR_CHANGE="",IF(TITLE_DATE_PR="","",TITLE_DATE_PR),TITLE_DATE_PR_CHANGE)</f>
        <v>46008.48059027778</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6011" customFormat="1" customHeight="1" ht="18.75">
      <c r="A32" s="1432"/>
      <c r="B32" s="1432"/>
      <c r="C32" s="1432"/>
      <c r="D32" s="1432"/>
      <c r="E32" s="1432"/>
      <c r="F32" s="1432"/>
      <c r="G32" s="1432"/>
      <c r="H32" s="1432"/>
      <c r="I32" s="1432"/>
      <c r="J32" s="1432"/>
      <c r="K32" s="1432"/>
      <c r="L32" s="1433"/>
      <c r="M32" s="1432"/>
      <c r="N32" s="1432"/>
      <c r="O32" s="1432"/>
      <c r="P32" s="1432"/>
      <c r="Q32" s="1432"/>
      <c r="S32" s="2314" t="s">
        <v>426</v>
      </c>
      <c r="T32" s="2314"/>
      <c r="U32" s="1436"/>
      <c r="V32" s="2315" t="str">
        <f>IF(TITLE_NUMBER_PR_CHANGE="",IF(TITLE_NUMBER_PR="","",TITLE_NUMBER_PR),TITLE_NUMBER_PR_CHANGE)</f>
        <v>58</v>
      </c>
      <c r="W32" s="2315"/>
      <c r="X32" s="2315"/>
      <c r="Y32" s="2315"/>
      <c r="Z32" s="2315"/>
      <c r="AA32" s="390"/>
      <c r="AB32" s="2315" t="str">
        <f>IF(TITLE_NUMBER_PR_CHANGE="",IF(TITLE_NUMBER_PR="","",TITLE_NUMBER_PR),TITLE_NUMBER_PR_CHANGE)</f>
        <v>58</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6011" customFormat="1" customHeight="1" ht="18.75">
      <c r="A33" s="1432"/>
      <c r="B33" s="1432"/>
      <c r="C33" s="1432"/>
      <c r="D33" s="1432"/>
      <c r="E33" s="1432"/>
      <c r="F33" s="1432"/>
      <c r="G33" s="1432"/>
      <c r="H33" s="1432"/>
      <c r="I33" s="1432"/>
      <c r="J33" s="1432"/>
      <c r="K33" s="1432"/>
      <c r="L33" s="1433"/>
      <c r="M33" s="1432"/>
      <c r="N33" s="1432"/>
      <c r="O33" s="1432"/>
      <c r="P33" s="1432"/>
      <c r="Q33" s="1432"/>
      <c r="S33" s="2314" t="s">
        <v>44</v>
      </c>
      <c r="T33" s="2314"/>
      <c r="U33" s="1436"/>
      <c r="V33" s="2315" t="str">
        <f>IF(TITLE_IST_PUB_CHANGE="",IF(TITLE_IST_PUB="","",TITLE_IST_PUB),TITLE_IST_PUB_CHANGE)</f>
        <v>http://pravo.gov.ru</v>
      </c>
      <c r="W33" s="2315"/>
      <c r="X33" s="2315"/>
      <c r="Y33" s="2315"/>
      <c r="Z33" s="2315"/>
      <c r="AA33" s="390"/>
      <c r="AB33" s="2315" t="str">
        <f>IF(TITLE_IST_PUB_CHANGE="",IF(TITLE_IST_PUB="","",TITLE_IST_PUB),TITLE_IST_PUB_CHANGE)</f>
        <v>http://pravo.gov.ru</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601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425</v>
      </c>
      <c r="T35" s="2314"/>
      <c r="U35" s="1436"/>
      <c r="V35" s="2328" t="str">
        <f>IF(TITLE_DATE_PR_CHANGE="",IF(TITLE_DATE_PR="","",TITLE_DATE_PR),TITLE_DATE_PR_CHANGE)</f>
        <v>46008.48059027778</v>
      </c>
      <c r="W35" s="2328"/>
      <c r="X35" s="2328"/>
      <c r="Y35" s="2328"/>
      <c r="Z35" s="2328"/>
      <c r="AA35" s="390"/>
      <c r="AB35" s="2328" t="str">
        <f>IF(TITLE_DATE_PR_CHANGE="",IF(TITLE_DATE_PR="","",TITLE_DATE_PR),TITLE_DATE_PR_CHANGE)</f>
        <v>46008.48059027778</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601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426</v>
      </c>
      <c r="T36" s="2314"/>
      <c r="U36" s="1436"/>
      <c r="V36" s="2315" t="str">
        <f>IF(TITLE_NUMBER_PR_CHANGE="",IF(TITLE_NUMBER_PR="","",TITLE_NUMBER_PR),TITLE_NUMBER_PR_CHANGE)</f>
        <v>58</v>
      </c>
      <c r="W36" s="2315"/>
      <c r="X36" s="2315"/>
      <c r="Y36" s="2315"/>
      <c r="Z36" s="2315"/>
      <c r="AA36" s="390"/>
      <c r="AB36" s="2315" t="str">
        <f>IF(TITLE_NUMBER_PR_CHANGE="",IF(TITLE_NUMBER_PR="","",TITLE_NUMBER_PR),TITLE_NUMBER_PR_CHANGE)</f>
        <v>58</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601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429</v>
      </c>
      <c r="AB37" s="390"/>
      <c r="AC37" s="390"/>
      <c r="AD37" s="390"/>
      <c r="AE37" s="390"/>
      <c r="AF37" s="390"/>
      <c r="AG37" s="390"/>
      <c r="AH37" s="390"/>
      <c r="AI37" s="390"/>
      <c r="AJ37" s="390"/>
      <c r="AK37" s="390"/>
      <c r="AL37" s="390"/>
      <c r="AM37" s="390"/>
      <c r="AN37" s="390"/>
      <c r="AO37" s="390"/>
      <c r="AP37" s="390"/>
      <c r="AQ37" s="390"/>
      <c r="AR37" s="390"/>
      <c r="AS37" s="342" t="s">
        <v>429</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304</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305</v>
      </c>
      <c r="BA39" s="1219">
        <v>14</v>
      </c>
    </row>
    <row customHeight="1" ht="14.699999999999998">
      <c r="Q40" s="355"/>
      <c r="R40" s="440"/>
      <c r="S40" s="2337" t="s">
        <v>89</v>
      </c>
      <c r="T40" s="2273" t="s">
        <v>474</v>
      </c>
      <c r="U40" s="365"/>
      <c r="V40" s="2339"/>
      <c r="W40" s="2339"/>
      <c r="X40" s="2339"/>
      <c r="Y40" s="2339"/>
      <c r="Z40" s="2340"/>
      <c r="AA40" s="2400" t="s">
        <v>432</v>
      </c>
      <c r="AB40" s="2392" t="s">
        <v>475</v>
      </c>
      <c r="AC40" s="2355"/>
      <c r="AD40" s="2355"/>
      <c r="AE40" s="2393"/>
      <c r="AF40" s="2355" t="s">
        <v>476</v>
      </c>
      <c r="AG40" s="2355"/>
      <c r="AH40" s="2355"/>
      <c r="AI40" s="2393"/>
      <c r="AJ40" s="2392" t="s">
        <v>477</v>
      </c>
      <c r="AK40" s="2355"/>
      <c r="AL40" s="2355"/>
      <c r="AM40" s="2393"/>
      <c r="AN40" s="2392" t="s">
        <v>431</v>
      </c>
      <c r="AO40" s="2355"/>
      <c r="AP40" s="2339"/>
      <c r="AQ40" s="2339"/>
      <c r="AR40" s="2340"/>
      <c r="AS40" s="2341" t="s">
        <v>432</v>
      </c>
      <c r="AT40" s="2344" t="s">
        <v>434</v>
      </c>
      <c r="AU40" s="2191"/>
      <c r="BA40" s="1219">
        <v>14</v>
      </c>
    </row>
    <row customHeight="1" ht="35.699999999999996">
      <c r="Q41" s="355"/>
      <c r="R41" s="440"/>
      <c r="S41" s="2337"/>
      <c r="T41" s="2273"/>
      <c r="U41" s="1095"/>
      <c r="V41" s="2191" t="s">
        <v>478</v>
      </c>
      <c r="W41" s="2191"/>
      <c r="X41" s="2358" t="s">
        <v>438</v>
      </c>
      <c r="Y41" s="2377"/>
      <c r="Z41" s="2378"/>
      <c r="AA41" s="2401"/>
      <c r="AB41" s="2394"/>
      <c r="AC41" s="2395"/>
      <c r="AD41" s="2395"/>
      <c r="AE41" s="2396"/>
      <c r="AF41" s="2395"/>
      <c r="AG41" s="2395"/>
      <c r="AH41" s="2395"/>
      <c r="AI41" s="2396"/>
      <c r="AJ41" s="2394"/>
      <c r="AK41" s="2395"/>
      <c r="AL41" s="2395"/>
      <c r="AM41" s="2395"/>
      <c r="AN41" s="2191" t="s">
        <v>478</v>
      </c>
      <c r="AO41" s="2191"/>
      <c r="AP41" s="2377" t="s">
        <v>438</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136</v>
      </c>
      <c r="C43" s="1434" t="s">
        <v>137</v>
      </c>
      <c r="D43" s="1434" t="s">
        <v>138</v>
      </c>
      <c r="E43" s="1428" t="s">
        <v>439</v>
      </c>
      <c r="F43" s="1428" t="s">
        <v>440</v>
      </c>
      <c r="G43" s="1428" t="s">
        <v>441</v>
      </c>
      <c r="H43" s="1428" t="s">
        <v>442</v>
      </c>
      <c r="I43" s="1428" t="s">
        <v>443</v>
      </c>
      <c r="J43" s="1428" t="s">
        <v>444</v>
      </c>
      <c r="K43" s="1428" t="s">
        <v>445</v>
      </c>
      <c r="L43" s="1428" t="s">
        <v>420</v>
      </c>
      <c r="Q43" s="355"/>
      <c r="R43" s="440"/>
      <c r="S43" s="2337"/>
      <c r="T43" s="2273"/>
      <c r="U43" s="366"/>
      <c r="V43" s="1394" t="s">
        <v>479</v>
      </c>
      <c r="W43" s="1394" t="s">
        <v>480</v>
      </c>
      <c r="X43" s="1402" t="s">
        <v>448</v>
      </c>
      <c r="Y43" s="2334" t="s">
        <v>449</v>
      </c>
      <c r="Z43" s="2335"/>
      <c r="AA43" s="2402"/>
      <c r="AB43" s="2397"/>
      <c r="AC43" s="2398"/>
      <c r="AD43" s="2398"/>
      <c r="AE43" s="2399"/>
      <c r="AF43" s="2398"/>
      <c r="AG43" s="2398"/>
      <c r="AH43" s="2398"/>
      <c r="AI43" s="2399"/>
      <c r="AJ43" s="2397"/>
      <c r="AK43" s="2398"/>
      <c r="AL43" s="2398"/>
      <c r="AM43" s="2399"/>
      <c r="AN43" s="1924" t="s">
        <v>479</v>
      </c>
      <c r="AO43" s="1924" t="s">
        <v>480</v>
      </c>
      <c r="AP43" s="1402" t="s">
        <v>448</v>
      </c>
      <c r="AQ43" s="2334" t="s">
        <v>449</v>
      </c>
      <c r="AR43" s="2335"/>
      <c r="AS43" s="2343"/>
      <c r="AT43" s="2346"/>
      <c r="AU43" s="2191"/>
      <c r="BA43" s="1219">
        <v>14</v>
      </c>
    </row>
    <row s="3710"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110</v>
      </c>
      <c r="T44" s="1319" t="s">
        <v>111</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199</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124</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4"/>
      <c r="AX45" s="564" t="str">
        <f>IF(T45="","",T45)</f>
        <v>Наименование тарифа</v>
      </c>
      <c r="AY45" s="564"/>
      <c r="AZ45" s="564"/>
      <c r="BA45" s="1219">
        <v>102</v>
      </c>
    </row>
    <row customHeight="1" ht="22.049999999999997">
      <c r="A46" s="1427" t="s">
        <v>199</v>
      </c>
      <c r="B46" s="1427" t="s">
        <v>200</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401</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402</v>
      </c>
      <c r="AW46" s="564"/>
      <c r="AX46" s="564" t="str">
        <f>IF(T46="","",T46)</f>
        <v>Территория действия тарифа</v>
      </c>
      <c r="AY46" s="564"/>
      <c r="AZ46" s="564"/>
      <c r="BA46" s="1219">
        <v>21</v>
      </c>
    </row>
    <row customHeight="1" ht="24">
      <c r="A47" s="1427" t="s">
        <v>199</v>
      </c>
      <c r="B47" s="1427" t="s">
        <v>200</v>
      </c>
      <c r="C47" s="1427" t="s">
        <v>201</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403</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404</v>
      </c>
      <c r="AW47" s="564"/>
      <c r="AX47" s="564" t="str">
        <f>IF(T47="","",T47)</f>
        <v>Наименование системы теплоснабжения </v>
      </c>
      <c r="AY47" s="564"/>
      <c r="AZ47" s="564"/>
      <c r="BA47" s="1219">
        <v>23</v>
      </c>
    </row>
    <row customHeight="1" ht="21">
      <c r="A48" s="1427" t="s">
        <v>199</v>
      </c>
      <c r="B48" s="1427" t="s">
        <v>200</v>
      </c>
      <c r="C48" s="1427" t="s">
        <v>201</v>
      </c>
      <c r="D48" s="1427" t="s">
        <v>202</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405</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406</v>
      </c>
      <c r="AW48" s="564"/>
      <c r="AX48" s="564" t="str">
        <f>IF(T48="","",T48)</f>
        <v>Источник тепловой энергии  </v>
      </c>
      <c r="AY48" s="564"/>
      <c r="AZ48" s="564"/>
      <c r="BA48" s="1219">
        <v>20</v>
      </c>
    </row>
    <row s="4976" customFormat="1" customHeight="1" ht="1.05">
      <c r="A49" s="1407" t="s">
        <v>199</v>
      </c>
      <c r="B49" s="1407" t="s">
        <v>200</v>
      </c>
      <c r="C49" s="1407" t="s">
        <v>201</v>
      </c>
      <c r="D49" s="1407" t="s">
        <v>202</v>
      </c>
      <c r="E49" s="2323"/>
      <c r="F49" s="2323"/>
      <c r="G49" s="2323"/>
      <c r="H49" s="2323"/>
      <c r="I49" s="2320" t="str">
        <f>S48&amp;".1"</f>
        <v>....1</v>
      </c>
      <c r="J49" s="1407"/>
      <c r="K49" s="1407"/>
      <c r="L49" s="1410" t="s">
        <v>407</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976" customFormat="1" customHeight="1" ht="1.05">
      <c r="A50" s="1407" t="s">
        <v>199</v>
      </c>
      <c r="B50" s="1407" t="s">
        <v>200</v>
      </c>
      <c r="C50" s="1407" t="s">
        <v>201</v>
      </c>
      <c r="D50" s="1407" t="s">
        <v>202</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199</v>
      </c>
      <c r="B51" s="1427" t="s">
        <v>200</v>
      </c>
      <c r="C51" s="1427" t="s">
        <v>201</v>
      </c>
      <c r="D51" s="1427" t="s">
        <v>202</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62</v>
      </c>
      <c r="Z51" s="1798"/>
      <c r="AA51" s="1523" t="s">
        <v>62</v>
      </c>
      <c r="AB51" s="2171" t="s">
        <v>19</v>
      </c>
      <c r="AC51" s="2390"/>
      <c r="AD51" s="2269">
        <v>1</v>
      </c>
      <c r="AE51" s="2412" t="s">
        <v>28</v>
      </c>
      <c r="AF51" s="2171" t="s">
        <v>19</v>
      </c>
      <c r="AG51" s="2390"/>
      <c r="AH51" s="2269">
        <v>1</v>
      </c>
      <c r="AI51" s="2412" t="s">
        <v>28</v>
      </c>
      <c r="AJ51" s="2171" t="s">
        <v>19</v>
      </c>
      <c r="AK51" s="375"/>
      <c r="AL51" s="1401">
        <v>1</v>
      </c>
      <c r="AM51" s="1466"/>
      <c r="AN51" s="815"/>
      <c r="AO51" s="1321"/>
      <c r="AP51" s="1798"/>
      <c r="AQ51" s="1523" t="s">
        <v>62</v>
      </c>
      <c r="AR51" s="1798"/>
      <c r="AS51" s="1523" t="s">
        <v>62</v>
      </c>
      <c r="AT51" s="1412"/>
      <c r="AU51" s="2317" t="s">
        <v>481</v>
      </c>
      <c r="AV51" s="575">
        <f>STRCHECKDATE(V54:AT54)</f>
      </c>
      <c r="AW51" s="564"/>
      <c r="AX51" s="564" t="str">
        <f>IF(T51="","",T51)</f>
        <v/>
      </c>
      <c r="AY51" s="564"/>
      <c r="AZ51" s="564"/>
      <c r="BA51" s="1219">
        <v>21</v>
      </c>
    </row>
    <row customHeight="1" ht="11.549999999999999">
      <c r="A52" s="1427" t="s">
        <v>199</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466</v>
      </c>
      <c r="AN52" s="1457"/>
      <c r="AO52" s="1560"/>
      <c r="AP52" s="1457"/>
      <c r="AQ52" s="1457"/>
      <c r="AR52" s="1457"/>
      <c r="AS52" s="1457"/>
      <c r="AT52" s="1454"/>
      <c r="AU52" s="2318"/>
      <c r="AW52" s="564"/>
      <c r="AX52" s="564"/>
      <c r="AY52" s="564"/>
      <c r="AZ52" s="564"/>
      <c r="BA52" s="1219">
        <v>11</v>
      </c>
    </row>
    <row customHeight="1" ht="11.549999999999999">
      <c r="A53" s="1427" t="s">
        <v>199</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467</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199</v>
      </c>
      <c r="B54" s="1427" t="s">
        <v>200</v>
      </c>
      <c r="C54" s="1427" t="s">
        <v>201</v>
      </c>
      <c r="D54" s="1427" t="s">
        <v>202</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468</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199</v>
      </c>
      <c r="B55" s="1427" t="s">
        <v>200</v>
      </c>
      <c r="C55" s="1427" t="s">
        <v>201</v>
      </c>
      <c r="D55" s="1427" t="s">
        <v>202</v>
      </c>
      <c r="E55" s="2323"/>
      <c r="F55" s="2323"/>
      <c r="G55" s="2323"/>
      <c r="H55" s="2323"/>
      <c r="I55" s="2350"/>
      <c r="J55" s="2320"/>
      <c r="K55" s="1427"/>
      <c r="L55" s="1428"/>
      <c r="P55" s="2321"/>
      <c r="Q55" s="2321"/>
      <c r="R55" s="420"/>
      <c r="S55" s="1342"/>
      <c r="T55" s="351" t="s">
        <v>469</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976" customFormat="1" customHeight="1" ht="1.05">
      <c r="A56" s="1407" t="s">
        <v>199</v>
      </c>
      <c r="B56" s="1407" t="s">
        <v>200</v>
      </c>
      <c r="C56" s="1407" t="s">
        <v>201</v>
      </c>
      <c r="D56" s="1407" t="s">
        <v>202</v>
      </c>
      <c r="E56" s="2323"/>
      <c r="F56" s="2323"/>
      <c r="G56" s="2323"/>
      <c r="H56" s="2323"/>
      <c r="I56" s="2320"/>
      <c r="J56" s="1407"/>
      <c r="K56" s="1407"/>
      <c r="L56" s="1410"/>
      <c r="M56" s="574"/>
      <c r="N56" s="574"/>
      <c r="O56" s="574"/>
      <c r="P56" s="2321"/>
      <c r="Q56" s="1395"/>
      <c r="R56" s="420"/>
      <c r="S56" s="1450"/>
      <c r="T56" s="1451" t="s">
        <v>416</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710" customFormat="1" customHeight="1" ht="1.05">
      <c r="A57" s="1407" t="s">
        <v>199</v>
      </c>
      <c r="B57" s="1407" t="s">
        <v>200</v>
      </c>
      <c r="C57" s="1407" t="s">
        <v>201</v>
      </c>
      <c r="D57" s="1407" t="s">
        <v>202</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976" customFormat="1" customHeight="1" ht="1.05">
      <c r="A58" s="1407" t="s">
        <v>199</v>
      </c>
      <c r="B58" s="1407" t="s">
        <v>200</v>
      </c>
      <c r="C58" s="1407" t="s">
        <v>201</v>
      </c>
      <c r="D58" s="1378"/>
      <c r="E58" s="2323"/>
      <c r="F58" s="2323"/>
      <c r="G58" s="2322"/>
      <c r="H58" s="1378"/>
      <c r="I58" s="1378"/>
      <c r="J58" s="1378"/>
      <c r="K58" s="1378"/>
      <c r="L58" s="1403"/>
      <c r="M58" s="1379"/>
      <c r="N58" s="1379"/>
      <c r="P58" s="1380"/>
      <c r="Q58" s="1381"/>
      <c r="R58" s="1380"/>
      <c r="S58" s="1386"/>
      <c r="T58" s="1389" t="s">
        <v>418</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976" customFormat="1" customHeight="1" ht="1.05">
      <c r="A59" s="1407" t="s">
        <v>199</v>
      </c>
      <c r="B59" s="1407" t="s">
        <v>200</v>
      </c>
      <c r="C59" s="1378"/>
      <c r="D59" s="1378"/>
      <c r="E59" s="2323"/>
      <c r="F59" s="2322"/>
      <c r="G59" s="1378"/>
      <c r="H59" s="1378"/>
      <c r="I59" s="1378"/>
      <c r="J59" s="1378"/>
      <c r="K59" s="1378"/>
      <c r="L59" s="1403"/>
      <c r="M59" s="1385"/>
      <c r="N59" s="1385"/>
      <c r="P59" s="1380"/>
      <c r="Q59" s="1381"/>
      <c r="R59" s="1380"/>
      <c r="S59" s="1386"/>
      <c r="T59" s="1389" t="s">
        <v>255</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976" customFormat="1" customHeight="1" ht="1.05">
      <c r="A60" s="1407" t="s">
        <v>199</v>
      </c>
      <c r="B60" s="1407"/>
      <c r="C60" s="1407"/>
      <c r="D60" s="1407"/>
      <c r="E60" s="2323"/>
      <c r="F60" s="1407"/>
      <c r="G60" s="1407"/>
      <c r="H60" s="1407"/>
      <c r="I60" s="1407"/>
      <c r="J60" s="1407"/>
      <c r="K60" s="1407"/>
      <c r="L60" s="1410"/>
      <c r="M60" s="1385"/>
      <c r="N60" s="1385"/>
      <c r="O60" s="582"/>
      <c r="P60" s="444"/>
      <c r="Q60" s="1408"/>
      <c r="R60" s="444"/>
      <c r="S60" s="1386"/>
      <c r="T60" s="1389" t="s">
        <v>256</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976" customFormat="1" customHeight="1" ht="1.05">
      <c r="A61" s="1407" t="s">
        <v>199</v>
      </c>
      <c r="B61" s="1407"/>
      <c r="C61" s="1407"/>
      <c r="D61" s="1407"/>
      <c r="E61" s="2322"/>
      <c r="F61" s="1407"/>
      <c r="G61" s="1407"/>
      <c r="H61" s="1407"/>
      <c r="I61" s="1407"/>
      <c r="J61" s="1407"/>
      <c r="K61" s="1407"/>
      <c r="L61" s="1410"/>
      <c r="M61" s="1385"/>
      <c r="N61" s="1385"/>
      <c r="O61" s="582"/>
      <c r="P61" s="444"/>
      <c r="Q61" s="1408"/>
      <c r="R61" s="444"/>
      <c r="S61" s="1386"/>
      <c r="T61" s="1389" t="s">
        <v>256</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976"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257</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83</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7123D-F146-A643-B25E-0.AC8373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4.140625" hidden="1" customWidth="1"/>
    <col min="10" max="10" style="5416" width="9.8515625" hidden="1" customWidth="1"/>
    <col min="11" max="11" style="5416" width="14.71093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4" style="5468" width="24.7109375" hidden="1" customWidth="1"/>
    <col min="25" max="25" style="5468" width="11.7109375" hidden="1" customWidth="1"/>
    <col min="26" max="26" style="5468" width="3.7109375" hidden="1" customWidth="1"/>
    <col min="27" max="27" style="5468" width="11.7109375" hidden="1" customWidth="1"/>
    <col min="28" max="28" style="5468" width="8.57421875" hidden="1" customWidth="1"/>
    <col min="29" max="29" style="5468" width="24.7109375" customWidth="1"/>
    <col min="30" max="31" style="5468" width="24.00390625" customWidth="1"/>
    <col min="32" max="32" style="5468" width="11.00390625" customWidth="1"/>
    <col min="33" max="33" style="5468" width="3.7109375" customWidth="1"/>
    <col min="34" max="34" style="5468" width="11.00390625" customWidth="1"/>
    <col min="35" max="35" style="5468" width="8.57421875" hidden="1" customWidth="1"/>
    <col min="36" max="36" style="5468" width="4.00390625" customWidth="1"/>
    <col min="37" max="37" style="5468" width="115.00390625" customWidth="1"/>
    <col min="38" max="42" style="4976" width="10.00390625" customWidth="1"/>
    <col min="43" max="43" style="546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124</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482</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483</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484</v>
      </c>
      <c r="U5" s="364"/>
      <c r="V5" s="2414"/>
      <c r="W5" s="2415"/>
      <c r="X5" s="2415"/>
      <c r="Y5" s="2415"/>
      <c r="Z5" s="2415"/>
      <c r="AA5" s="2415"/>
      <c r="AB5" s="2416"/>
      <c r="AC5" s="2417"/>
      <c r="AD5" s="2418"/>
      <c r="AE5" s="2418"/>
      <c r="AF5" s="2418"/>
      <c r="AG5" s="2418"/>
      <c r="AH5" s="2418"/>
      <c r="AI5" s="2418"/>
      <c r="AJ5" s="2419"/>
      <c r="AK5" s="1322" t="s">
        <v>485</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489">
        <f>$J6</f>
      </c>
      <c r="T6" s="350" t="s">
        <v>411</v>
      </c>
      <c r="U6" s="364"/>
      <c r="V6" s="2309"/>
      <c r="W6" s="2310"/>
      <c r="X6" s="2310"/>
      <c r="Y6" s="2310"/>
      <c r="Z6" s="2310"/>
      <c r="AA6" s="2310"/>
      <c r="AB6" s="2311"/>
      <c r="AC6" s="2309"/>
      <c r="AD6" s="2310"/>
      <c r="AE6" s="2310"/>
      <c r="AF6" s="2310"/>
      <c r="AG6" s="2310"/>
      <c r="AH6" s="2310"/>
      <c r="AI6" s="2310"/>
      <c r="AJ6" s="2311"/>
      <c r="AK6" s="1371" t="s">
        <v>486</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62</v>
      </c>
      <c r="AA7" s="2329"/>
      <c r="AB7" s="2171" t="s">
        <v>62</v>
      </c>
      <c r="AC7" s="815"/>
      <c r="AD7" s="815"/>
      <c r="AE7" s="1321"/>
      <c r="AF7" s="2329"/>
      <c r="AG7" s="2171" t="s">
        <v>62</v>
      </c>
      <c r="AH7" s="2351"/>
      <c r="AI7" s="2171" t="s">
        <v>62</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487</v>
      </c>
      <c r="U9" s="431"/>
      <c r="V9" s="431"/>
      <c r="W9" s="431"/>
      <c r="X9" s="431"/>
      <c r="Y9" s="431"/>
      <c r="Z9" s="431"/>
      <c r="AA9" s="431"/>
      <c r="AB9" s="431"/>
      <c r="AC9" s="431"/>
      <c r="AD9" s="431"/>
      <c r="AE9" s="431"/>
      <c r="AF9" s="431"/>
      <c r="AG9" s="431"/>
      <c r="AH9" s="431"/>
      <c r="AI9" s="431"/>
      <c r="AJ9" s="431"/>
      <c r="AK9" s="1322" t="s">
        <v>488</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489</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976"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255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976"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62</v>
      </c>
      <c r="AH15" s="2331"/>
      <c r="AI15" s="2332" t="s">
        <v>62</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416" customFormat="1" customHeight="1" ht="22.5" hidden="1">
      <c r="L18" s="1485"/>
      <c r="M18" s="1426"/>
      <c r="N18" s="1426"/>
      <c r="O18" s="1431" t="s">
        <v>419</v>
      </c>
      <c r="P18" s="1426"/>
      <c r="Q18" s="1435"/>
      <c r="R18" s="1435"/>
      <c r="S18" s="793"/>
      <c r="Y18" s="1431"/>
      <c r="AA18" s="1431"/>
      <c r="AB18" s="1430"/>
      <c r="AF18" s="1431"/>
      <c r="AH18" s="1431"/>
      <c r="AI18" s="1430"/>
      <c r="AL18" s="575"/>
      <c r="AM18" s="575"/>
      <c r="AN18" s="575"/>
      <c r="AO18" s="575"/>
      <c r="AP18" s="575"/>
      <c r="AQ18" s="1224">
        <v>0</v>
      </c>
    </row>
    <row s="5416" customFormat="1" customHeight="1" ht="14.25" hidden="1">
      <c r="L19" s="1485"/>
      <c r="M19" s="1426"/>
      <c r="N19" s="1426"/>
      <c r="O19" s="1426"/>
      <c r="P19" s="1426"/>
      <c r="Q19" s="1435"/>
      <c r="R19" s="1435"/>
      <c r="S19" s="793"/>
      <c r="AB19" s="1430"/>
      <c r="AI19" s="1430"/>
      <c r="AL19" s="575"/>
      <c r="AM19" s="575"/>
      <c r="AN19" s="575"/>
      <c r="AO19" s="575"/>
      <c r="AP19" s="575"/>
      <c r="AQ19" s="1224">
        <v>0</v>
      </c>
    </row>
    <row s="5416" customFormat="1" customHeight="1" ht="12" hidden="1">
      <c r="L20" s="1485"/>
      <c r="M20" s="1426"/>
      <c r="N20" s="1426"/>
      <c r="O20" s="1428" t="s">
        <v>420</v>
      </c>
      <c r="P20" s="1426"/>
      <c r="Q20" s="1506"/>
      <c r="R20" s="1506"/>
      <c r="S20" s="793"/>
      <c r="T20" s="1224" t="s">
        <v>421</v>
      </c>
      <c r="Z20" s="250" t="s">
        <v>422</v>
      </c>
      <c r="AB20" s="250" t="s">
        <v>423</v>
      </c>
      <c r="AC20" s="1224" t="s">
        <v>421</v>
      </c>
      <c r="AG20" s="250" t="s">
        <v>424</v>
      </c>
      <c r="AI20" s="250" t="s">
        <v>423</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601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УГРЦТ НАО</v>
      </c>
      <c r="W27" s="2315"/>
      <c r="X27" s="2315"/>
      <c r="Y27" s="2315"/>
      <c r="Z27" s="2315"/>
      <c r="AA27" s="2315"/>
      <c r="AB27" s="390"/>
      <c r="AC27" s="2315" t="str">
        <f>IF(TITLE_NAME_OR_PR_CHANGE="",IF(TITLE_NAME_OR_PR="","",TITLE_NAME_OR_PR),TITLE_NAME_OR_PR_CHANGE)</f>
        <v>УГРЦТ НАО</v>
      </c>
      <c r="AD27" s="2315"/>
      <c r="AE27" s="2315"/>
      <c r="AF27" s="2315"/>
      <c r="AG27" s="2315"/>
      <c r="AH27" s="2315"/>
      <c r="AI27" s="390"/>
      <c r="AJ27" s="390"/>
      <c r="AK27" s="344"/>
      <c r="AL27" s="432"/>
      <c r="AM27" s="432"/>
      <c r="AN27" s="432"/>
      <c r="AO27" s="432"/>
      <c r="AP27" s="432"/>
      <c r="AQ27" s="482">
        <v>0</v>
      </c>
    </row>
    <row s="6011" customFormat="1" customHeight="1" ht="18.75">
      <c r="A28" s="1432"/>
      <c r="B28" s="1432"/>
      <c r="C28" s="1432"/>
      <c r="D28" s="1432"/>
      <c r="E28" s="1432"/>
      <c r="F28" s="1432"/>
      <c r="G28" s="1432"/>
      <c r="H28" s="1432"/>
      <c r="I28" s="1432"/>
      <c r="J28" s="1432"/>
      <c r="K28" s="1432"/>
      <c r="L28" s="1433"/>
      <c r="M28" s="1432"/>
      <c r="N28" s="1432"/>
      <c r="O28" s="1432"/>
      <c r="S28" s="2314" t="s">
        <v>425</v>
      </c>
      <c r="T28" s="2314"/>
      <c r="U28" s="1436"/>
      <c r="V28" s="2328" t="str">
        <f>IF(TITLE_DATE_PR_CHANGE="",IF(TITLE_DATE_PR="","",TITLE_DATE_PR),TITLE_DATE_PR_CHANGE)</f>
        <v>46008.48059027778</v>
      </c>
      <c r="W28" s="2328"/>
      <c r="X28" s="2328"/>
      <c r="Y28" s="2328"/>
      <c r="Z28" s="2328"/>
      <c r="AA28" s="2328"/>
      <c r="AB28" s="390"/>
      <c r="AC28" s="2328" t="str">
        <f>IF(TITLE_DATE_PR_CHANGE="",IF(TITLE_DATE_PR="","",TITLE_DATE_PR),TITLE_DATE_PR_CHANGE)</f>
        <v>46008.48059027778</v>
      </c>
      <c r="AD28" s="2328"/>
      <c r="AE28" s="2328"/>
      <c r="AF28" s="2328"/>
      <c r="AG28" s="2328"/>
      <c r="AH28" s="2328"/>
      <c r="AI28" s="390"/>
      <c r="AJ28" s="390"/>
      <c r="AK28" s="344"/>
      <c r="AL28" s="432"/>
      <c r="AM28" s="432"/>
      <c r="AN28" s="432"/>
      <c r="AO28" s="432"/>
      <c r="AP28" s="432"/>
      <c r="AQ28" s="482">
        <v>0</v>
      </c>
    </row>
    <row s="6011" customFormat="1" customHeight="1" ht="18.75">
      <c r="A29" s="1432"/>
      <c r="B29" s="1432"/>
      <c r="C29" s="1432"/>
      <c r="D29" s="1432"/>
      <c r="E29" s="1432"/>
      <c r="F29" s="1432"/>
      <c r="G29" s="1432"/>
      <c r="H29" s="1432"/>
      <c r="I29" s="1432"/>
      <c r="J29" s="1432"/>
      <c r="K29" s="1432"/>
      <c r="L29" s="1433"/>
      <c r="M29" s="1432"/>
      <c r="N29" s="1432"/>
      <c r="O29" s="1432"/>
      <c r="S29" s="2314" t="s">
        <v>426</v>
      </c>
      <c r="T29" s="2314"/>
      <c r="U29" s="1436"/>
      <c r="V29" s="2315" t="str">
        <f>IF(TITLE_NUMBER_PR_CHANGE="",IF(TITLE_NUMBER_PR="","",TITLE_NUMBER_PR),TITLE_NUMBER_PR_CHANGE)</f>
        <v>58</v>
      </c>
      <c r="W29" s="2315"/>
      <c r="X29" s="2315"/>
      <c r="Y29" s="2315"/>
      <c r="Z29" s="2315"/>
      <c r="AA29" s="2315"/>
      <c r="AB29" s="390"/>
      <c r="AC29" s="2315" t="str">
        <f>IF(TITLE_NUMBER_PR_CHANGE="",IF(TITLE_NUMBER_PR="","",TITLE_NUMBER_PR),TITLE_NUMBER_PR_CHANGE)</f>
        <v>58</v>
      </c>
      <c r="AD29" s="2315"/>
      <c r="AE29" s="2315"/>
      <c r="AF29" s="2315"/>
      <c r="AG29" s="2315"/>
      <c r="AH29" s="2315"/>
      <c r="AI29" s="390"/>
      <c r="AJ29" s="390"/>
      <c r="AK29" s="344"/>
      <c r="AL29" s="432"/>
      <c r="AM29" s="432"/>
      <c r="AN29" s="432"/>
      <c r="AO29" s="432"/>
      <c r="AP29" s="432"/>
      <c r="AQ29" s="482">
        <v>0</v>
      </c>
    </row>
    <row s="601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http://pravo.gov.ru</v>
      </c>
      <c r="W30" s="2315"/>
      <c r="X30" s="2315"/>
      <c r="Y30" s="2315"/>
      <c r="Z30" s="2315"/>
      <c r="AA30" s="2315"/>
      <c r="AB30" s="390"/>
      <c r="AC30" s="2315" t="str">
        <f>IF(TITLE_IST_PUB_CHANGE="",IF(TITLE_IST_PUB="","",TITLE_IST_PUB),TITLE_IST_PUB_CHANGE)</f>
        <v>http://pravo.gov.ru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6011" customFormat="1" customHeight="1" ht="18.75" hidden="1">
      <c r="A32" s="1432"/>
      <c r="B32" s="1432"/>
      <c r="C32" s="1432"/>
      <c r="D32" s="1432"/>
      <c r="E32" s="1432"/>
      <c r="F32" s="1432"/>
      <c r="G32" s="1432"/>
      <c r="H32" s="1432"/>
      <c r="I32" s="1432"/>
      <c r="J32" s="1432"/>
      <c r="K32" s="1432"/>
      <c r="L32" s="1433"/>
      <c r="M32" s="1432"/>
      <c r="N32" s="1432"/>
      <c r="O32" s="1432"/>
      <c r="S32" s="2314" t="s">
        <v>427</v>
      </c>
      <c r="T32" s="2314"/>
      <c r="U32" s="1436"/>
      <c r="V32" s="2328" t="str">
        <f>IF(TITLE_DATE_PR_CHANGE="",IF(TITLE_DATE_PR="","",TITLE_DATE_PR),TITLE_DATE_PR_CHANGE)</f>
        <v>46008.48059027778</v>
      </c>
      <c r="W32" s="2328"/>
      <c r="X32" s="2328"/>
      <c r="Y32" s="2328"/>
      <c r="Z32" s="2328"/>
      <c r="AA32" s="2328"/>
      <c r="AB32" s="390"/>
      <c r="AC32" s="2328" t="str">
        <f>IF(TITLE_DATE_PR_CHANGE="",IF(TITLE_DATE_PR="","",TITLE_DATE_PR),TITLE_DATE_PR_CHANGE)</f>
        <v>46008.48059027778</v>
      </c>
      <c r="AD32" s="2328"/>
      <c r="AE32" s="2328"/>
      <c r="AF32" s="2328"/>
      <c r="AG32" s="2328"/>
      <c r="AH32" s="2328"/>
      <c r="AI32" s="390"/>
      <c r="AJ32" s="390"/>
      <c r="AK32" s="344"/>
      <c r="AL32" s="432"/>
      <c r="AM32" s="432"/>
      <c r="AN32" s="432"/>
      <c r="AO32" s="432"/>
      <c r="AP32" s="432"/>
      <c r="AQ32" s="482">
        <v>0</v>
      </c>
    </row>
    <row s="6011" customFormat="1" customHeight="1" ht="18.75" hidden="1">
      <c r="A33" s="1432"/>
      <c r="B33" s="1432"/>
      <c r="C33" s="1432"/>
      <c r="D33" s="1432"/>
      <c r="E33" s="1432"/>
      <c r="F33" s="1432"/>
      <c r="G33" s="1432"/>
      <c r="H33" s="1432"/>
      <c r="I33" s="1432"/>
      <c r="J33" s="1432"/>
      <c r="K33" s="1432"/>
      <c r="L33" s="1433"/>
      <c r="M33" s="1432"/>
      <c r="N33" s="1432"/>
      <c r="O33" s="1432"/>
      <c r="S33" s="2314" t="s">
        <v>428</v>
      </c>
      <c r="T33" s="2314"/>
      <c r="U33" s="1436"/>
      <c r="V33" s="2315" t="str">
        <f>IF(TITLE_NUMBER_PR_CHANGE="",IF(TITLE_NUMBER_PR="","",TITLE_NUMBER_PR),TITLE_NUMBER_PR_CHANGE)</f>
        <v>58</v>
      </c>
      <c r="W33" s="2315"/>
      <c r="X33" s="2315"/>
      <c r="Y33" s="2315"/>
      <c r="Z33" s="2315"/>
      <c r="AA33" s="2315"/>
      <c r="AB33" s="390"/>
      <c r="AC33" s="2315" t="str">
        <f>IF(TITLE_NUMBER_PR_CHANGE="",IF(TITLE_NUMBER_PR="","",TITLE_NUMBER_PR),TITLE_NUMBER_PR_CHANGE)</f>
        <v>58</v>
      </c>
      <c r="AD33" s="2315"/>
      <c r="AE33" s="2315"/>
      <c r="AF33" s="2315"/>
      <c r="AG33" s="2315"/>
      <c r="AH33" s="2315"/>
      <c r="AI33" s="390"/>
      <c r="AJ33" s="390"/>
      <c r="AK33" s="344"/>
      <c r="AL33" s="432"/>
      <c r="AM33" s="432"/>
      <c r="AN33" s="432"/>
      <c r="AO33" s="432"/>
      <c r="AP33" s="432"/>
      <c r="AQ33" s="482">
        <v>0</v>
      </c>
    </row>
    <row s="601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429</v>
      </c>
      <c r="AC34" s="390"/>
      <c r="AD34" s="390"/>
      <c r="AE34" s="390"/>
      <c r="AF34" s="390"/>
      <c r="AG34" s="390"/>
      <c r="AH34" s="390"/>
      <c r="AI34" s="342" t="s">
        <v>429</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89</v>
      </c>
      <c r="T37" s="2273" t="s">
        <v>430</v>
      </c>
      <c r="U37" s="365"/>
      <c r="V37" s="2338" t="s">
        <v>431</v>
      </c>
      <c r="W37" s="2339"/>
      <c r="X37" s="2339"/>
      <c r="Y37" s="2339"/>
      <c r="Z37" s="2339"/>
      <c r="AA37" s="2340"/>
      <c r="AB37" s="2341" t="s">
        <v>432</v>
      </c>
      <c r="AC37" s="2338" t="s">
        <v>431</v>
      </c>
      <c r="AD37" s="2339"/>
      <c r="AE37" s="2339"/>
      <c r="AF37" s="2339"/>
      <c r="AG37" s="2339"/>
      <c r="AH37" s="2340"/>
      <c r="AI37" s="2341" t="s">
        <v>433</v>
      </c>
      <c r="AJ37" s="2344" t="s">
        <v>434</v>
      </c>
      <c r="AK37" s="2191"/>
      <c r="AQ37" s="1219">
        <v>14</v>
      </c>
    </row>
    <row customHeight="1" ht="35.699999999999996">
      <c r="Q38" s="440"/>
      <c r="R38" s="440"/>
      <c r="S38" s="2337"/>
      <c r="T38" s="2273"/>
      <c r="U38" s="1095"/>
      <c r="V38" s="1416" t="s">
        <v>490</v>
      </c>
      <c r="W38" s="2326" t="s">
        <v>437</v>
      </c>
      <c r="X38" s="2327"/>
      <c r="Y38" s="2326" t="s">
        <v>438</v>
      </c>
      <c r="Z38" s="2333"/>
      <c r="AA38" s="2327"/>
      <c r="AB38" s="2342"/>
      <c r="AC38" s="1416" t="s">
        <v>490</v>
      </c>
      <c r="AD38" s="2326" t="s">
        <v>437</v>
      </c>
      <c r="AE38" s="2327"/>
      <c r="AF38" s="2326" t="s">
        <v>438</v>
      </c>
      <c r="AG38" s="2333"/>
      <c r="AH38" s="2327"/>
      <c r="AI38" s="2342"/>
      <c r="AJ38" s="2345"/>
      <c r="AK38" s="2191"/>
      <c r="AQ38" s="1219">
        <v>34</v>
      </c>
    </row>
    <row customHeight="1" ht="35.699999999999996">
      <c r="A39" s="1434"/>
      <c r="B39" s="1434" t="s">
        <v>136</v>
      </c>
      <c r="C39" s="1434" t="s">
        <v>137</v>
      </c>
      <c r="D39" s="1434" t="s">
        <v>138</v>
      </c>
      <c r="E39" s="1428" t="s">
        <v>439</v>
      </c>
      <c r="F39" s="1428" t="s">
        <v>440</v>
      </c>
      <c r="G39" s="1428" t="s">
        <v>441</v>
      </c>
      <c r="H39" s="1428"/>
      <c r="I39" s="1428" t="s">
        <v>491</v>
      </c>
      <c r="J39" s="1428" t="s">
        <v>444</v>
      </c>
      <c r="K39" s="1428" t="s">
        <v>492</v>
      </c>
      <c r="L39" s="1428" t="s">
        <v>420</v>
      </c>
      <c r="Q39" s="440"/>
      <c r="R39" s="440"/>
      <c r="S39" s="2337"/>
      <c r="T39" s="2273"/>
      <c r="U39" s="366"/>
      <c r="V39" s="1416" t="s">
        <v>493</v>
      </c>
      <c r="W39" s="1286" t="s">
        <v>494</v>
      </c>
      <c r="X39" s="1286" t="s">
        <v>495</v>
      </c>
      <c r="Y39" s="1421" t="s">
        <v>448</v>
      </c>
      <c r="Z39" s="2334" t="s">
        <v>449</v>
      </c>
      <c r="AA39" s="2335"/>
      <c r="AB39" s="2343"/>
      <c r="AC39" s="1416" t="s">
        <v>493</v>
      </c>
      <c r="AD39" s="1286" t="s">
        <v>494</v>
      </c>
      <c r="AE39" s="1286" t="s">
        <v>495</v>
      </c>
      <c r="AF39" s="1421" t="s">
        <v>448</v>
      </c>
      <c r="AG39" s="2334" t="s">
        <v>449</v>
      </c>
      <c r="AH39" s="2335"/>
      <c r="AI39" s="2343"/>
      <c r="AJ39" s="2346"/>
      <c r="AK39" s="2191"/>
      <c r="AQ39" s="1219">
        <v>34</v>
      </c>
    </row>
    <row s="3710"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225</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124</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225</v>
      </c>
      <c r="B42" s="1427" t="s">
        <v>226</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225</v>
      </c>
      <c r="B43" s="1427" t="s">
        <v>226</v>
      </c>
      <c r="C43" s="1427" t="s">
        <v>227</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482</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483</v>
      </c>
      <c r="AM43" s="564"/>
      <c r="AN43" s="564" t="str">
        <f>IF(T43="","",T43)</f>
        <v>Наименование централизованной системы холодного водоснабжения</v>
      </c>
      <c r="AO43" s="564"/>
      <c r="AP43" s="564"/>
      <c r="AQ43" s="1219">
        <v>23</v>
      </c>
    </row>
    <row customHeight="1" ht="24">
      <c r="A44" s="1427" t="s">
        <v>225</v>
      </c>
      <c r="B44" s="1427" t="s">
        <v>226</v>
      </c>
      <c r="C44" s="1427" t="s">
        <v>227</v>
      </c>
      <c r="D44" s="1427" t="s">
        <v>496</v>
      </c>
      <c r="E44" s="2323"/>
      <c r="F44" s="2323"/>
      <c r="G44" s="2323"/>
      <c r="H44" s="2323"/>
      <c r="I44" s="2320" t="str">
        <f>S43&amp;".1"</f>
        <v>...1</v>
      </c>
      <c r="J44" s="1427"/>
      <c r="K44" s="1427"/>
      <c r="L44" s="1428"/>
      <c r="P44" s="2321">
        <v>1</v>
      </c>
      <c r="Q44" s="1418"/>
      <c r="R44" s="420"/>
      <c r="S44" s="1422" t="str">
        <f>$I44</f>
        <v>...1</v>
      </c>
      <c r="T44" s="349" t="s">
        <v>484</v>
      </c>
      <c r="U44" s="364"/>
      <c r="V44" s="2414"/>
      <c r="W44" s="2415"/>
      <c r="X44" s="2415"/>
      <c r="Y44" s="2415"/>
      <c r="Z44" s="2415"/>
      <c r="AA44" s="2415"/>
      <c r="AB44" s="2416"/>
      <c r="AC44" s="2417"/>
      <c r="AD44" s="2418"/>
      <c r="AE44" s="2418"/>
      <c r="AF44" s="2418"/>
      <c r="AG44" s="2418"/>
      <c r="AH44" s="2418"/>
      <c r="AI44" s="2418"/>
      <c r="AJ44" s="2419"/>
      <c r="AK44" s="1322" t="s">
        <v>485</v>
      </c>
      <c r="AM44" s="564"/>
      <c r="AN44" s="564" t="str">
        <f>IF(T44="","",T44)</f>
        <v>Наименование признака дифференциации</v>
      </c>
      <c r="AO44" s="564"/>
      <c r="AP44" s="564"/>
      <c r="AQ44" s="1219">
        <v>23</v>
      </c>
    </row>
    <row customHeight="1" ht="24">
      <c r="A45" s="1427" t="s">
        <v>225</v>
      </c>
      <c r="B45" s="1427" t="s">
        <v>226</v>
      </c>
      <c r="C45" s="1427" t="s">
        <v>227</v>
      </c>
      <c r="D45" s="1427" t="s">
        <v>496</v>
      </c>
      <c r="E45" s="2323"/>
      <c r="F45" s="2323"/>
      <c r="G45" s="2323"/>
      <c r="H45" s="2323"/>
      <c r="I45" s="2350"/>
      <c r="J45" s="2320" t="str">
        <f>I44&amp;".1"</f>
        <v>...1.1</v>
      </c>
      <c r="K45" s="1427"/>
      <c r="L45" s="1428" t="s">
        <v>410</v>
      </c>
      <c r="P45" s="2321"/>
      <c r="Q45" s="2321">
        <v>1</v>
      </c>
      <c r="R45" s="421"/>
      <c r="S45" s="1422" t="str">
        <f>$J45</f>
        <v>...1.1</v>
      </c>
      <c r="T45" s="350" t="s">
        <v>411</v>
      </c>
      <c r="U45" s="364"/>
      <c r="V45" s="2309"/>
      <c r="W45" s="2310"/>
      <c r="X45" s="2310"/>
      <c r="Y45" s="2310"/>
      <c r="Z45" s="2310"/>
      <c r="AA45" s="2310"/>
      <c r="AB45" s="2311"/>
      <c r="AC45" s="2309"/>
      <c r="AD45" s="2310"/>
      <c r="AE45" s="2310"/>
      <c r="AF45" s="2310"/>
      <c r="AG45" s="2310"/>
      <c r="AH45" s="2310"/>
      <c r="AI45" s="2310"/>
      <c r="AJ45" s="2311"/>
      <c r="AK45" s="1371" t="s">
        <v>486</v>
      </c>
      <c r="AM45" s="564"/>
      <c r="AN45" s="564" t="str">
        <f>IF(T45="","",T45)</f>
        <v>Группа потребителей</v>
      </c>
      <c r="AO45" s="564"/>
      <c r="AP45" s="564"/>
      <c r="AQ45" s="1219">
        <v>23</v>
      </c>
    </row>
    <row customHeight="1" ht="24">
      <c r="A46" s="1427" t="s">
        <v>225</v>
      </c>
      <c r="B46" s="1427" t="s">
        <v>226</v>
      </c>
      <c r="C46" s="1427" t="s">
        <v>227</v>
      </c>
      <c r="D46" s="1427" t="s">
        <v>496</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62</v>
      </c>
      <c r="AA46" s="2331"/>
      <c r="AB46" s="2332" t="s">
        <v>62</v>
      </c>
      <c r="AC46" s="815"/>
      <c r="AD46" s="815"/>
      <c r="AE46" s="1321"/>
      <c r="AF46" s="2329"/>
      <c r="AG46" s="2171" t="s">
        <v>62</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225</v>
      </c>
      <c r="B47" s="1427" t="s">
        <v>226</v>
      </c>
      <c r="C47" s="1427" t="s">
        <v>227</v>
      </c>
      <c r="D47" s="1427" t="s">
        <v>496</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225</v>
      </c>
      <c r="B48" s="1427" t="s">
        <v>226</v>
      </c>
      <c r="C48" s="1427" t="s">
        <v>227</v>
      </c>
      <c r="D48" s="1427" t="s">
        <v>496</v>
      </c>
      <c r="E48" s="2323"/>
      <c r="F48" s="2323"/>
      <c r="G48" s="2323"/>
      <c r="H48" s="2323"/>
      <c r="I48" s="2350"/>
      <c r="J48" s="2320"/>
      <c r="K48" s="1427"/>
      <c r="L48" s="1428"/>
      <c r="P48" s="2321"/>
      <c r="Q48" s="2321"/>
      <c r="R48" s="420"/>
      <c r="S48" s="1342"/>
      <c r="T48" s="351" t="s">
        <v>487</v>
      </c>
      <c r="U48" s="431"/>
      <c r="V48" s="431"/>
      <c r="W48" s="431"/>
      <c r="X48" s="431"/>
      <c r="Y48" s="431"/>
      <c r="Z48" s="431"/>
      <c r="AA48" s="431"/>
      <c r="AB48" s="431"/>
      <c r="AC48" s="431"/>
      <c r="AD48" s="431"/>
      <c r="AE48" s="431"/>
      <c r="AF48" s="431"/>
      <c r="AG48" s="431"/>
      <c r="AH48" s="431"/>
      <c r="AI48" s="431"/>
      <c r="AJ48" s="431"/>
      <c r="AK48" s="1322" t="s">
        <v>488</v>
      </c>
      <c r="AM48" s="564"/>
      <c r="AN48" s="564" t="str">
        <f>IF(T48="","",T48)</f>
        <v>Добавить значение признака дифференциации</v>
      </c>
      <c r="AO48" s="564"/>
      <c r="AP48" s="564"/>
      <c r="AQ48" s="1219">
        <v>20</v>
      </c>
    </row>
    <row customHeight="1" ht="22.049999999999997">
      <c r="A49" s="1427" t="s">
        <v>225</v>
      </c>
      <c r="B49" s="1427" t="s">
        <v>226</v>
      </c>
      <c r="C49" s="1427" t="s">
        <v>227</v>
      </c>
      <c r="D49" s="1427" t="s">
        <v>496</v>
      </c>
      <c r="E49" s="2323"/>
      <c r="F49" s="2323"/>
      <c r="G49" s="2323"/>
      <c r="H49" s="2323"/>
      <c r="I49" s="2320"/>
      <c r="J49" s="1427"/>
      <c r="K49" s="1427"/>
      <c r="L49" s="1428"/>
      <c r="P49" s="2321"/>
      <c r="Q49" s="1418"/>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225</v>
      </c>
      <c r="B50" s="1427" t="s">
        <v>226</v>
      </c>
      <c r="C50" s="1427" t="s">
        <v>227</v>
      </c>
      <c r="D50" s="1427" t="s">
        <v>496</v>
      </c>
      <c r="E50" s="2323"/>
      <c r="F50" s="2323"/>
      <c r="G50" s="2323"/>
      <c r="H50" s="2322"/>
      <c r="I50" s="1427"/>
      <c r="J50" s="1427"/>
      <c r="K50" s="1427"/>
      <c r="L50" s="1428"/>
      <c r="M50" s="1429"/>
      <c r="N50" s="1429"/>
      <c r="O50" s="601"/>
      <c r="P50" s="424"/>
      <c r="Q50" s="439"/>
      <c r="R50" s="419"/>
      <c r="S50" s="1342"/>
      <c r="T50" s="436" t="s">
        <v>489</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976" customFormat="1" customHeight="1" ht="0">
      <c r="A51" s="1407" t="s">
        <v>225</v>
      </c>
      <c r="B51" s="1407" t="s">
        <v>226</v>
      </c>
      <c r="C51" s="1378"/>
      <c r="D51" s="1378"/>
      <c r="E51" s="2323"/>
      <c r="F51" s="2322"/>
      <c r="G51" s="1378"/>
      <c r="H51" s="1378"/>
      <c r="I51" s="1378"/>
      <c r="J51" s="1378"/>
      <c r="K51" s="1378"/>
      <c r="L51" s="1490"/>
      <c r="M51" s="1385"/>
      <c r="N51" s="1385"/>
      <c r="P51" s="1380"/>
      <c r="Q51" s="1381"/>
      <c r="R51" s="1380"/>
      <c r="S51" s="1386"/>
      <c r="T51" s="1389" t="s">
        <v>255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976" customFormat="1" customHeight="1" ht="0">
      <c r="A52" s="1407" t="s">
        <v>225</v>
      </c>
      <c r="B52" s="1407"/>
      <c r="C52" s="1407"/>
      <c r="D52" s="1407"/>
      <c r="E52" s="2322"/>
      <c r="F52" s="1407"/>
      <c r="G52" s="1407"/>
      <c r="H52" s="1407"/>
      <c r="I52" s="1407"/>
      <c r="J52" s="1407"/>
      <c r="K52" s="1407"/>
      <c r="L52" s="1410"/>
      <c r="M52" s="1385"/>
      <c r="N52" s="1385"/>
      <c r="O52" s="582"/>
      <c r="P52" s="444"/>
      <c r="Q52" s="1408"/>
      <c r="R52" s="444"/>
      <c r="S52" s="1386"/>
      <c r="T52" s="1389" t="s">
        <v>256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976"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257</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83</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4B668-AD82-5FA2-EC98-0.CBCD1F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4.140625" hidden="1" customWidth="1"/>
    <col min="10" max="10" style="5416" width="9.8515625" hidden="1" customWidth="1"/>
    <col min="11" max="11" style="5416" width="14.71093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4" style="5468" width="24.7109375" hidden="1" customWidth="1"/>
    <col min="25" max="25" style="5468" width="11.7109375" hidden="1" customWidth="1"/>
    <col min="26" max="26" style="5468" width="3.7109375" hidden="1" customWidth="1"/>
    <col min="27" max="27" style="5468" width="11.7109375" hidden="1" customWidth="1"/>
    <col min="28" max="28" style="5468" width="8.57421875" hidden="1" customWidth="1"/>
    <col min="29" max="29" style="5468" width="24.7109375" customWidth="1"/>
    <col min="30" max="31" style="5468" width="24.00390625" customWidth="1"/>
    <col min="32" max="32" style="5468" width="11.00390625" customWidth="1"/>
    <col min="33" max="33" style="5468" width="3.7109375" customWidth="1"/>
    <col min="34" max="34" style="5468" width="11.00390625" customWidth="1"/>
    <col min="35" max="35" style="5468" width="8.57421875" hidden="1" customWidth="1"/>
    <col min="36" max="36" style="5468" width="4.00390625" customWidth="1"/>
    <col min="37" max="37" style="5468" width="115.00390625" customWidth="1"/>
    <col min="38" max="42" style="4976" width="10.00390625" customWidth="1"/>
    <col min="43" max="43" style="546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124</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482</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483</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484</v>
      </c>
      <c r="U5" s="364"/>
      <c r="V5" s="2414"/>
      <c r="W5" s="2415"/>
      <c r="X5" s="2415"/>
      <c r="Y5" s="2415"/>
      <c r="Z5" s="2415"/>
      <c r="AA5" s="2415"/>
      <c r="AB5" s="2416"/>
      <c r="AC5" s="2417"/>
      <c r="AD5" s="2418"/>
      <c r="AE5" s="2418"/>
      <c r="AF5" s="2418"/>
      <c r="AG5" s="2418"/>
      <c r="AH5" s="2418"/>
      <c r="AI5" s="2418"/>
      <c r="AJ5" s="2419"/>
      <c r="AK5" s="1322" t="s">
        <v>485</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486</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62</v>
      </c>
      <c r="AA7" s="2329"/>
      <c r="AB7" s="2171" t="s">
        <v>62</v>
      </c>
      <c r="AC7" s="815"/>
      <c r="AD7" s="815"/>
      <c r="AE7" s="1321"/>
      <c r="AF7" s="2329"/>
      <c r="AG7" s="2171" t="s">
        <v>62</v>
      </c>
      <c r="AH7" s="2351"/>
      <c r="AI7" s="2171" t="s">
        <v>62</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487</v>
      </c>
      <c r="U9" s="431"/>
      <c r="V9" s="431"/>
      <c r="W9" s="431"/>
      <c r="X9" s="431"/>
      <c r="Y9" s="431"/>
      <c r="Z9" s="431"/>
      <c r="AA9" s="431"/>
      <c r="AB9" s="431"/>
      <c r="AC9" s="431"/>
      <c r="AD9" s="431"/>
      <c r="AE9" s="431"/>
      <c r="AF9" s="431"/>
      <c r="AG9" s="431"/>
      <c r="AH9" s="431"/>
      <c r="AI9" s="431"/>
      <c r="AJ9" s="431"/>
      <c r="AK9" s="1322" t="s">
        <v>488</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489</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976"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255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976"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62</v>
      </c>
      <c r="AH15" s="2331"/>
      <c r="AI15" s="2332" t="s">
        <v>62</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416" customFormat="1" customHeight="1" ht="22.5" hidden="1">
      <c r="L18" s="1511"/>
      <c r="M18" s="1426"/>
      <c r="N18" s="1426"/>
      <c r="O18" s="1431" t="s">
        <v>419</v>
      </c>
      <c r="P18" s="1426"/>
      <c r="Q18" s="1435"/>
      <c r="R18" s="1435"/>
      <c r="S18" s="793"/>
      <c r="Y18" s="1431"/>
      <c r="AA18" s="1431"/>
      <c r="AB18" s="1430"/>
      <c r="AF18" s="1431"/>
      <c r="AH18" s="1431"/>
      <c r="AI18" s="1430"/>
      <c r="AL18" s="575"/>
      <c r="AM18" s="575"/>
      <c r="AN18" s="575"/>
      <c r="AO18" s="575"/>
      <c r="AP18" s="575"/>
      <c r="AQ18" s="1224">
        <v>0</v>
      </c>
    </row>
    <row s="5416" customFormat="1" customHeight="1" ht="14.25" hidden="1">
      <c r="L19" s="1511"/>
      <c r="M19" s="1426"/>
      <c r="N19" s="1426"/>
      <c r="O19" s="1426"/>
      <c r="P19" s="1426"/>
      <c r="Q19" s="1435"/>
      <c r="R19" s="1435"/>
      <c r="S19" s="793"/>
      <c r="AB19" s="1430"/>
      <c r="AI19" s="1430"/>
      <c r="AL19" s="575"/>
      <c r="AM19" s="575"/>
      <c r="AN19" s="575"/>
      <c r="AO19" s="575"/>
      <c r="AP19" s="575"/>
      <c r="AQ19" s="1224">
        <v>0</v>
      </c>
    </row>
    <row s="5416" customFormat="1" customHeight="1" ht="12" hidden="1">
      <c r="L20" s="1511"/>
      <c r="M20" s="1426"/>
      <c r="N20" s="1426"/>
      <c r="O20" s="1428" t="s">
        <v>420</v>
      </c>
      <c r="P20" s="1426"/>
      <c r="Q20" s="1506"/>
      <c r="R20" s="1506"/>
      <c r="S20" s="793"/>
      <c r="T20" s="1224" t="s">
        <v>421</v>
      </c>
      <c r="Z20" s="250" t="s">
        <v>422</v>
      </c>
      <c r="AB20" s="250" t="s">
        <v>423</v>
      </c>
      <c r="AC20" s="1224" t="s">
        <v>421</v>
      </c>
      <c r="AG20" s="250" t="s">
        <v>424</v>
      </c>
      <c r="AI20" s="250" t="s">
        <v>423</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601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УГРЦТ НАО</v>
      </c>
      <c r="W27" s="2315"/>
      <c r="X27" s="2315"/>
      <c r="Y27" s="2315"/>
      <c r="Z27" s="2315"/>
      <c r="AA27" s="2315"/>
      <c r="AB27" s="390"/>
      <c r="AC27" s="2315" t="str">
        <f>IF(TITLE_NAME_OR_PR_CHANGE="",IF(TITLE_NAME_OR_PR="","",TITLE_NAME_OR_PR),TITLE_NAME_OR_PR_CHANGE)</f>
        <v>УГРЦТ НАО</v>
      </c>
      <c r="AD27" s="2315"/>
      <c r="AE27" s="2315"/>
      <c r="AF27" s="2315"/>
      <c r="AG27" s="2315"/>
      <c r="AH27" s="2315"/>
      <c r="AI27" s="390"/>
      <c r="AJ27" s="390"/>
      <c r="AK27" s="344"/>
      <c r="AL27" s="432"/>
      <c r="AM27" s="432"/>
      <c r="AN27" s="432"/>
      <c r="AO27" s="432"/>
      <c r="AP27" s="432"/>
      <c r="AQ27" s="482">
        <v>0</v>
      </c>
    </row>
    <row s="6011" customFormat="1" customHeight="1" ht="18.75">
      <c r="A28" s="1432"/>
      <c r="B28" s="1432"/>
      <c r="C28" s="1432"/>
      <c r="D28" s="1432"/>
      <c r="E28" s="1432"/>
      <c r="F28" s="1432"/>
      <c r="G28" s="1432"/>
      <c r="H28" s="1432"/>
      <c r="I28" s="1432"/>
      <c r="J28" s="1432"/>
      <c r="K28" s="1432"/>
      <c r="L28" s="1433"/>
      <c r="M28" s="1432"/>
      <c r="N28" s="1432"/>
      <c r="O28" s="1432"/>
      <c r="S28" s="2314" t="s">
        <v>425</v>
      </c>
      <c r="T28" s="2314"/>
      <c r="U28" s="1436"/>
      <c r="V28" s="2328" t="str">
        <f>IF(TITLE_DATE_PR_CHANGE="",IF(TITLE_DATE_PR="","",TITLE_DATE_PR),TITLE_DATE_PR_CHANGE)</f>
        <v>46008.48059027778</v>
      </c>
      <c r="W28" s="2328"/>
      <c r="X28" s="2328"/>
      <c r="Y28" s="2328"/>
      <c r="Z28" s="2328"/>
      <c r="AA28" s="2328"/>
      <c r="AB28" s="390"/>
      <c r="AC28" s="2328" t="str">
        <f>IF(TITLE_DATE_PR_CHANGE="",IF(TITLE_DATE_PR="","",TITLE_DATE_PR),TITLE_DATE_PR_CHANGE)</f>
        <v>46008.48059027778</v>
      </c>
      <c r="AD28" s="2328"/>
      <c r="AE28" s="2328"/>
      <c r="AF28" s="2328"/>
      <c r="AG28" s="2328"/>
      <c r="AH28" s="2328"/>
      <c r="AI28" s="390"/>
      <c r="AJ28" s="390"/>
      <c r="AK28" s="344"/>
      <c r="AL28" s="432"/>
      <c r="AM28" s="432"/>
      <c r="AN28" s="432"/>
      <c r="AO28" s="432"/>
      <c r="AP28" s="432"/>
      <c r="AQ28" s="482">
        <v>0</v>
      </c>
    </row>
    <row s="6011" customFormat="1" customHeight="1" ht="18.75">
      <c r="A29" s="1432"/>
      <c r="B29" s="1432"/>
      <c r="C29" s="1432"/>
      <c r="D29" s="1432"/>
      <c r="E29" s="1432"/>
      <c r="F29" s="1432"/>
      <c r="G29" s="1432"/>
      <c r="H29" s="1432"/>
      <c r="I29" s="1432"/>
      <c r="J29" s="1432"/>
      <c r="K29" s="1432"/>
      <c r="L29" s="1433"/>
      <c r="M29" s="1432"/>
      <c r="N29" s="1432"/>
      <c r="O29" s="1432"/>
      <c r="S29" s="2314" t="s">
        <v>426</v>
      </c>
      <c r="T29" s="2314"/>
      <c r="U29" s="1436"/>
      <c r="V29" s="2315" t="str">
        <f>IF(TITLE_NUMBER_PR_CHANGE="",IF(TITLE_NUMBER_PR="","",TITLE_NUMBER_PR),TITLE_NUMBER_PR_CHANGE)</f>
        <v>58</v>
      </c>
      <c r="W29" s="2315"/>
      <c r="X29" s="2315"/>
      <c r="Y29" s="2315"/>
      <c r="Z29" s="2315"/>
      <c r="AA29" s="2315"/>
      <c r="AB29" s="390"/>
      <c r="AC29" s="2315" t="str">
        <f>IF(TITLE_NUMBER_PR_CHANGE="",IF(TITLE_NUMBER_PR="","",TITLE_NUMBER_PR),TITLE_NUMBER_PR_CHANGE)</f>
        <v>58</v>
      </c>
      <c r="AD29" s="2315"/>
      <c r="AE29" s="2315"/>
      <c r="AF29" s="2315"/>
      <c r="AG29" s="2315"/>
      <c r="AH29" s="2315"/>
      <c r="AI29" s="390"/>
      <c r="AJ29" s="390"/>
      <c r="AK29" s="344"/>
      <c r="AL29" s="432"/>
      <c r="AM29" s="432"/>
      <c r="AN29" s="432"/>
      <c r="AO29" s="432"/>
      <c r="AP29" s="432"/>
      <c r="AQ29" s="482">
        <v>0</v>
      </c>
    </row>
    <row s="601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http://pravo.gov.ru</v>
      </c>
      <c r="W30" s="2315"/>
      <c r="X30" s="2315"/>
      <c r="Y30" s="2315"/>
      <c r="Z30" s="2315"/>
      <c r="AA30" s="2315"/>
      <c r="AB30" s="390"/>
      <c r="AC30" s="2315" t="str">
        <f>IF(TITLE_IST_PUB_CHANGE="",IF(TITLE_IST_PUB="","",TITLE_IST_PUB),TITLE_IST_PUB_CHANGE)</f>
        <v>http://pravo.gov.ru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6011" customFormat="1" customHeight="1" ht="18.75" hidden="1">
      <c r="A32" s="1432"/>
      <c r="B32" s="1432"/>
      <c r="C32" s="1432"/>
      <c r="D32" s="1432"/>
      <c r="E32" s="1432"/>
      <c r="F32" s="1432"/>
      <c r="G32" s="1432"/>
      <c r="H32" s="1432"/>
      <c r="I32" s="1432"/>
      <c r="J32" s="1432"/>
      <c r="K32" s="1432"/>
      <c r="L32" s="1433"/>
      <c r="M32" s="1432"/>
      <c r="N32" s="1432"/>
      <c r="O32" s="1432"/>
      <c r="S32" s="2314" t="s">
        <v>427</v>
      </c>
      <c r="T32" s="2314"/>
      <c r="U32" s="1436"/>
      <c r="V32" s="2328" t="str">
        <f>IF(TITLE_DATE_PR_CHANGE="",IF(TITLE_DATE_PR="","",TITLE_DATE_PR),TITLE_DATE_PR_CHANGE)</f>
        <v>46008.48059027778</v>
      </c>
      <c r="W32" s="2328"/>
      <c r="X32" s="2328"/>
      <c r="Y32" s="2328"/>
      <c r="Z32" s="2328"/>
      <c r="AA32" s="2328"/>
      <c r="AB32" s="390"/>
      <c r="AC32" s="2328" t="str">
        <f>IF(TITLE_DATE_PR_CHANGE="",IF(TITLE_DATE_PR="","",TITLE_DATE_PR),TITLE_DATE_PR_CHANGE)</f>
        <v>46008.48059027778</v>
      </c>
      <c r="AD32" s="2328"/>
      <c r="AE32" s="2328"/>
      <c r="AF32" s="2328"/>
      <c r="AG32" s="2328"/>
      <c r="AH32" s="2328"/>
      <c r="AI32" s="390"/>
      <c r="AJ32" s="390"/>
      <c r="AK32" s="344"/>
      <c r="AL32" s="432"/>
      <c r="AM32" s="432"/>
      <c r="AN32" s="432"/>
      <c r="AO32" s="432"/>
      <c r="AP32" s="432"/>
      <c r="AQ32" s="482">
        <v>0</v>
      </c>
    </row>
    <row s="6011" customFormat="1" customHeight="1" ht="18.75" hidden="1">
      <c r="A33" s="1432"/>
      <c r="B33" s="1432"/>
      <c r="C33" s="1432"/>
      <c r="D33" s="1432"/>
      <c r="E33" s="1432"/>
      <c r="F33" s="1432"/>
      <c r="G33" s="1432"/>
      <c r="H33" s="1432"/>
      <c r="I33" s="1432"/>
      <c r="J33" s="1432"/>
      <c r="K33" s="1432"/>
      <c r="L33" s="1433"/>
      <c r="M33" s="1432"/>
      <c r="N33" s="1432"/>
      <c r="O33" s="1432"/>
      <c r="S33" s="2314" t="s">
        <v>428</v>
      </c>
      <c r="T33" s="2314"/>
      <c r="U33" s="1436"/>
      <c r="V33" s="2315" t="str">
        <f>IF(TITLE_NUMBER_PR_CHANGE="",IF(TITLE_NUMBER_PR="","",TITLE_NUMBER_PR),TITLE_NUMBER_PR_CHANGE)</f>
        <v>58</v>
      </c>
      <c r="W33" s="2315"/>
      <c r="X33" s="2315"/>
      <c r="Y33" s="2315"/>
      <c r="Z33" s="2315"/>
      <c r="AA33" s="2315"/>
      <c r="AB33" s="390"/>
      <c r="AC33" s="2315" t="str">
        <f>IF(TITLE_NUMBER_PR_CHANGE="",IF(TITLE_NUMBER_PR="","",TITLE_NUMBER_PR),TITLE_NUMBER_PR_CHANGE)</f>
        <v>58</v>
      </c>
      <c r="AD33" s="2315"/>
      <c r="AE33" s="2315"/>
      <c r="AF33" s="2315"/>
      <c r="AG33" s="2315"/>
      <c r="AH33" s="2315"/>
      <c r="AI33" s="390"/>
      <c r="AJ33" s="390"/>
      <c r="AK33" s="344"/>
      <c r="AL33" s="432"/>
      <c r="AM33" s="432"/>
      <c r="AN33" s="432"/>
      <c r="AO33" s="432"/>
      <c r="AP33" s="432"/>
      <c r="AQ33" s="482">
        <v>0</v>
      </c>
    </row>
    <row s="601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429</v>
      </c>
      <c r="AC34" s="390"/>
      <c r="AD34" s="390"/>
      <c r="AE34" s="390"/>
      <c r="AF34" s="390"/>
      <c r="AG34" s="390"/>
      <c r="AH34" s="390"/>
      <c r="AI34" s="342" t="s">
        <v>429</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89</v>
      </c>
      <c r="T37" s="2273" t="s">
        <v>430</v>
      </c>
      <c r="U37" s="365"/>
      <c r="V37" s="2338" t="s">
        <v>431</v>
      </c>
      <c r="W37" s="2339"/>
      <c r="X37" s="2339"/>
      <c r="Y37" s="2339"/>
      <c r="Z37" s="2339"/>
      <c r="AA37" s="2340"/>
      <c r="AB37" s="2341" t="s">
        <v>432</v>
      </c>
      <c r="AC37" s="2338" t="s">
        <v>431</v>
      </c>
      <c r="AD37" s="2339"/>
      <c r="AE37" s="2339"/>
      <c r="AF37" s="2339"/>
      <c r="AG37" s="2339"/>
      <c r="AH37" s="2340"/>
      <c r="AI37" s="2341" t="s">
        <v>433</v>
      </c>
      <c r="AJ37" s="2344" t="s">
        <v>434</v>
      </c>
      <c r="AK37" s="2191"/>
      <c r="AQ37" s="1219">
        <v>14</v>
      </c>
    </row>
    <row customHeight="1" ht="35.699999999999996">
      <c r="Q38" s="440"/>
      <c r="R38" s="440"/>
      <c r="S38" s="2337"/>
      <c r="T38" s="2273"/>
      <c r="U38" s="1095"/>
      <c r="V38" s="1516" t="s">
        <v>490</v>
      </c>
      <c r="W38" s="2326" t="s">
        <v>437</v>
      </c>
      <c r="X38" s="2327"/>
      <c r="Y38" s="2326" t="s">
        <v>438</v>
      </c>
      <c r="Z38" s="2333"/>
      <c r="AA38" s="2327"/>
      <c r="AB38" s="2342"/>
      <c r="AC38" s="1516" t="s">
        <v>490</v>
      </c>
      <c r="AD38" s="2326" t="s">
        <v>437</v>
      </c>
      <c r="AE38" s="2327"/>
      <c r="AF38" s="2326" t="s">
        <v>438</v>
      </c>
      <c r="AG38" s="2333"/>
      <c r="AH38" s="2327"/>
      <c r="AI38" s="2342"/>
      <c r="AJ38" s="2345"/>
      <c r="AK38" s="2191"/>
      <c r="AQ38" s="1219">
        <v>34</v>
      </c>
    </row>
    <row customHeight="1" ht="35.699999999999996">
      <c r="A39" s="1434"/>
      <c r="B39" s="1434" t="s">
        <v>136</v>
      </c>
      <c r="C39" s="1434" t="s">
        <v>137</v>
      </c>
      <c r="D39" s="1434" t="s">
        <v>138</v>
      </c>
      <c r="E39" s="1428" t="s">
        <v>439</v>
      </c>
      <c r="F39" s="1428" t="s">
        <v>440</v>
      </c>
      <c r="G39" s="1428" t="s">
        <v>441</v>
      </c>
      <c r="H39" s="1428"/>
      <c r="I39" s="1428" t="s">
        <v>491</v>
      </c>
      <c r="J39" s="1428" t="s">
        <v>444</v>
      </c>
      <c r="K39" s="1428" t="s">
        <v>492</v>
      </c>
      <c r="L39" s="1428" t="s">
        <v>420</v>
      </c>
      <c r="Q39" s="440"/>
      <c r="R39" s="440"/>
      <c r="S39" s="2337"/>
      <c r="T39" s="2273"/>
      <c r="U39" s="366"/>
      <c r="V39" s="1516" t="s">
        <v>493</v>
      </c>
      <c r="W39" s="1286" t="s">
        <v>494</v>
      </c>
      <c r="X39" s="1286" t="s">
        <v>495</v>
      </c>
      <c r="Y39" s="1519" t="s">
        <v>448</v>
      </c>
      <c r="Z39" s="2334" t="s">
        <v>449</v>
      </c>
      <c r="AA39" s="2335"/>
      <c r="AB39" s="2343"/>
      <c r="AC39" s="1516" t="s">
        <v>493</v>
      </c>
      <c r="AD39" s="1286" t="s">
        <v>494</v>
      </c>
      <c r="AE39" s="1286" t="s">
        <v>495</v>
      </c>
      <c r="AF39" s="1519" t="s">
        <v>448</v>
      </c>
      <c r="AG39" s="2334" t="s">
        <v>449</v>
      </c>
      <c r="AH39" s="2335"/>
      <c r="AI39" s="2343"/>
      <c r="AJ39" s="2346"/>
      <c r="AK39" s="2191"/>
      <c r="AQ39" s="1219">
        <v>34</v>
      </c>
    </row>
    <row s="3710"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230</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124</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230</v>
      </c>
      <c r="B42" s="1427" t="s">
        <v>231</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230</v>
      </c>
      <c r="B43" s="1427" t="s">
        <v>231</v>
      </c>
      <c r="C43" s="1427" t="s">
        <v>232</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482</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483</v>
      </c>
      <c r="AM43" s="564"/>
      <c r="AN43" s="564" t="str">
        <f>IF(T43="","",T43)</f>
        <v>Наименование централизованной системы холодного водоснабжения</v>
      </c>
      <c r="AO43" s="564"/>
      <c r="AP43" s="564"/>
      <c r="AQ43" s="1219">
        <v>23</v>
      </c>
    </row>
    <row customHeight="1" ht="24">
      <c r="A44" s="1427" t="s">
        <v>230</v>
      </c>
      <c r="B44" s="1427" t="s">
        <v>231</v>
      </c>
      <c r="C44" s="1427" t="s">
        <v>232</v>
      </c>
      <c r="D44" s="1427" t="s">
        <v>497</v>
      </c>
      <c r="E44" s="2323"/>
      <c r="F44" s="2323"/>
      <c r="G44" s="2323"/>
      <c r="H44" s="2323"/>
      <c r="I44" s="2320" t="str">
        <f>S43&amp;".1"</f>
        <v>...1</v>
      </c>
      <c r="J44" s="1427"/>
      <c r="K44" s="1427"/>
      <c r="L44" s="1428"/>
      <c r="P44" s="2321">
        <v>1</v>
      </c>
      <c r="Q44" s="1514"/>
      <c r="R44" s="420"/>
      <c r="S44" s="1521" t="str">
        <f>$I44</f>
        <v>...1</v>
      </c>
      <c r="T44" s="349" t="s">
        <v>484</v>
      </c>
      <c r="U44" s="364"/>
      <c r="V44" s="2414"/>
      <c r="W44" s="2415"/>
      <c r="X44" s="2415"/>
      <c r="Y44" s="2415"/>
      <c r="Z44" s="2415"/>
      <c r="AA44" s="2415"/>
      <c r="AB44" s="2416"/>
      <c r="AC44" s="2417"/>
      <c r="AD44" s="2418"/>
      <c r="AE44" s="2418"/>
      <c r="AF44" s="2418"/>
      <c r="AG44" s="2418"/>
      <c r="AH44" s="2418"/>
      <c r="AI44" s="2418"/>
      <c r="AJ44" s="2419"/>
      <c r="AK44" s="1322" t="s">
        <v>485</v>
      </c>
      <c r="AM44" s="564"/>
      <c r="AN44" s="564" t="str">
        <f>IF(T44="","",T44)</f>
        <v>Наименование признака дифференциации</v>
      </c>
      <c r="AO44" s="564"/>
      <c r="AP44" s="564"/>
      <c r="AQ44" s="1219">
        <v>23</v>
      </c>
    </row>
    <row customHeight="1" ht="24">
      <c r="A45" s="1427" t="s">
        <v>230</v>
      </c>
      <c r="B45" s="1427" t="s">
        <v>231</v>
      </c>
      <c r="C45" s="1427" t="s">
        <v>232</v>
      </c>
      <c r="D45" s="1427" t="s">
        <v>497</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486</v>
      </c>
      <c r="AM45" s="564"/>
      <c r="AN45" s="564" t="str">
        <f>IF(T45="","",T45)</f>
        <v>Группа потребителей</v>
      </c>
      <c r="AO45" s="564"/>
      <c r="AP45" s="564"/>
      <c r="AQ45" s="1219">
        <v>23</v>
      </c>
    </row>
    <row customHeight="1" ht="24">
      <c r="A46" s="1427" t="s">
        <v>230</v>
      </c>
      <c r="B46" s="1427" t="s">
        <v>231</v>
      </c>
      <c r="C46" s="1427" t="s">
        <v>232</v>
      </c>
      <c r="D46" s="1427" t="s">
        <v>497</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62</v>
      </c>
      <c r="AA46" s="2329"/>
      <c r="AB46" s="2171" t="s">
        <v>62</v>
      </c>
      <c r="AC46" s="815"/>
      <c r="AD46" s="815"/>
      <c r="AE46" s="1321"/>
      <c r="AF46" s="2329"/>
      <c r="AG46" s="2171" t="s">
        <v>62</v>
      </c>
      <c r="AH46" s="2351"/>
      <c r="AI46" s="2171" t="s">
        <v>62</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230</v>
      </c>
      <c r="B47" s="1427" t="s">
        <v>231</v>
      </c>
      <c r="C47" s="1427" t="s">
        <v>232</v>
      </c>
      <c r="D47" s="1427" t="s">
        <v>497</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230</v>
      </c>
      <c r="B48" s="1427" t="s">
        <v>231</v>
      </c>
      <c r="C48" s="1427" t="s">
        <v>232</v>
      </c>
      <c r="D48" s="1427" t="s">
        <v>497</v>
      </c>
      <c r="E48" s="2323"/>
      <c r="F48" s="2323"/>
      <c r="G48" s="2323"/>
      <c r="H48" s="2323"/>
      <c r="I48" s="2350"/>
      <c r="J48" s="2320"/>
      <c r="K48" s="1427"/>
      <c r="L48" s="1428"/>
      <c r="P48" s="2321"/>
      <c r="Q48" s="2321"/>
      <c r="R48" s="420"/>
      <c r="S48" s="1342"/>
      <c r="T48" s="351" t="s">
        <v>487</v>
      </c>
      <c r="U48" s="431"/>
      <c r="V48" s="431"/>
      <c r="W48" s="431"/>
      <c r="X48" s="431"/>
      <c r="Y48" s="431"/>
      <c r="Z48" s="431"/>
      <c r="AA48" s="431"/>
      <c r="AB48" s="431"/>
      <c r="AC48" s="431"/>
      <c r="AD48" s="431"/>
      <c r="AE48" s="431"/>
      <c r="AF48" s="431"/>
      <c r="AG48" s="431"/>
      <c r="AH48" s="431"/>
      <c r="AI48" s="431"/>
      <c r="AJ48" s="431"/>
      <c r="AK48" s="1322" t="s">
        <v>488</v>
      </c>
      <c r="AM48" s="564"/>
      <c r="AN48" s="564" t="str">
        <f>IF(T48="","",T48)</f>
        <v>Добавить значение признака дифференциации</v>
      </c>
      <c r="AO48" s="564"/>
      <c r="AP48" s="564"/>
      <c r="AQ48" s="1219">
        <v>20</v>
      </c>
    </row>
    <row customHeight="1" ht="22.049999999999997">
      <c r="A49" s="1427" t="s">
        <v>230</v>
      </c>
      <c r="B49" s="1427" t="s">
        <v>231</v>
      </c>
      <c r="C49" s="1427" t="s">
        <v>232</v>
      </c>
      <c r="D49" s="1427" t="s">
        <v>497</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230</v>
      </c>
      <c r="B50" s="1427" t="s">
        <v>231</v>
      </c>
      <c r="C50" s="1427" t="s">
        <v>232</v>
      </c>
      <c r="D50" s="1427" t="s">
        <v>497</v>
      </c>
      <c r="E50" s="2323"/>
      <c r="F50" s="2323"/>
      <c r="G50" s="2323"/>
      <c r="H50" s="2322"/>
      <c r="I50" s="1427"/>
      <c r="J50" s="1427"/>
      <c r="K50" s="1427"/>
      <c r="L50" s="1428"/>
      <c r="M50" s="1429"/>
      <c r="N50" s="1429"/>
      <c r="O50" s="601"/>
      <c r="P50" s="424"/>
      <c r="Q50" s="439"/>
      <c r="R50" s="419"/>
      <c r="S50" s="1342"/>
      <c r="T50" s="436" t="s">
        <v>489</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976" customFormat="1" customHeight="1" ht="0">
      <c r="A51" s="1407" t="s">
        <v>230</v>
      </c>
      <c r="B51" s="1407" t="s">
        <v>231</v>
      </c>
      <c r="C51" s="1378"/>
      <c r="D51" s="1378"/>
      <c r="E51" s="2323"/>
      <c r="F51" s="2322"/>
      <c r="G51" s="1378"/>
      <c r="H51" s="1378"/>
      <c r="I51" s="1378"/>
      <c r="J51" s="1378"/>
      <c r="K51" s="1378"/>
      <c r="L51" s="1522"/>
      <c r="M51" s="1385"/>
      <c r="N51" s="1385"/>
      <c r="P51" s="1380"/>
      <c r="Q51" s="1381"/>
      <c r="R51" s="1380"/>
      <c r="S51" s="1386"/>
      <c r="T51" s="1389" t="s">
        <v>255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976" customFormat="1" customHeight="1" ht="0">
      <c r="A52" s="1407" t="s">
        <v>230</v>
      </c>
      <c r="B52" s="1407"/>
      <c r="C52" s="1407"/>
      <c r="D52" s="1407"/>
      <c r="E52" s="2322"/>
      <c r="F52" s="1407"/>
      <c r="G52" s="1407"/>
      <c r="H52" s="1407"/>
      <c r="I52" s="1407"/>
      <c r="J52" s="1407"/>
      <c r="K52" s="1407"/>
      <c r="L52" s="1410"/>
      <c r="M52" s="1385"/>
      <c r="N52" s="1385"/>
      <c r="O52" s="582"/>
      <c r="P52" s="444"/>
      <c r="Q52" s="1408"/>
      <c r="R52" s="444"/>
      <c r="S52" s="1386"/>
      <c r="T52" s="1389" t="s">
        <v>256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976"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257</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83</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BAAE1-F961-33D4-2C19-0.82AAAD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4.140625" hidden="1" customWidth="1"/>
    <col min="10" max="10" style="5416" width="9.8515625" hidden="1" customWidth="1"/>
    <col min="11" max="11" style="5416" width="14.71093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4" style="5468" width="24.7109375" hidden="1" customWidth="1"/>
    <col min="25" max="25" style="5468" width="11.7109375" hidden="1" customWidth="1"/>
    <col min="26" max="26" style="5468" width="3.7109375" hidden="1" customWidth="1"/>
    <col min="27" max="27" style="5468" width="11.7109375" hidden="1" customWidth="1"/>
    <col min="28" max="28" style="5468" width="8.57421875" hidden="1" customWidth="1"/>
    <col min="29" max="29" style="5468" width="24.7109375" customWidth="1"/>
    <col min="30" max="31" style="5468" width="24.00390625" customWidth="1"/>
    <col min="32" max="32" style="5468" width="11.00390625" customWidth="1"/>
    <col min="33" max="33" style="5468" width="3.7109375" customWidth="1"/>
    <col min="34" max="34" style="5468" width="11.00390625" customWidth="1"/>
    <col min="35" max="35" style="5468" width="8.57421875" hidden="1" customWidth="1"/>
    <col min="36" max="36" style="5468" width="4.00390625" customWidth="1"/>
    <col min="37" max="37" style="5468" width="115.00390625" customWidth="1"/>
    <col min="38" max="42" style="4976" width="10.00390625" customWidth="1"/>
    <col min="43" max="43" style="546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124</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482</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483</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484</v>
      </c>
      <c r="U5" s="364"/>
      <c r="V5" s="2414"/>
      <c r="W5" s="2415"/>
      <c r="X5" s="2415"/>
      <c r="Y5" s="2415"/>
      <c r="Z5" s="2415"/>
      <c r="AA5" s="2415"/>
      <c r="AB5" s="2416"/>
      <c r="AC5" s="2417"/>
      <c r="AD5" s="2418"/>
      <c r="AE5" s="2418"/>
      <c r="AF5" s="2418"/>
      <c r="AG5" s="2418"/>
      <c r="AH5" s="2418"/>
      <c r="AI5" s="2418"/>
      <c r="AJ5" s="2419"/>
      <c r="AK5" s="1322" t="s">
        <v>485</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486</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62</v>
      </c>
      <c r="AA7" s="2329"/>
      <c r="AB7" s="2171" t="s">
        <v>62</v>
      </c>
      <c r="AC7" s="815"/>
      <c r="AD7" s="815"/>
      <c r="AE7" s="1321"/>
      <c r="AF7" s="2329"/>
      <c r="AG7" s="2171" t="s">
        <v>62</v>
      </c>
      <c r="AH7" s="2351"/>
      <c r="AI7" s="2171" t="s">
        <v>62</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487</v>
      </c>
      <c r="U9" s="431"/>
      <c r="V9" s="431"/>
      <c r="W9" s="431"/>
      <c r="X9" s="431"/>
      <c r="Y9" s="431"/>
      <c r="Z9" s="431"/>
      <c r="AA9" s="431"/>
      <c r="AB9" s="431"/>
      <c r="AC9" s="431"/>
      <c r="AD9" s="431"/>
      <c r="AE9" s="431"/>
      <c r="AF9" s="431"/>
      <c r="AG9" s="431"/>
      <c r="AH9" s="431"/>
      <c r="AI9" s="431"/>
      <c r="AJ9" s="431"/>
      <c r="AK9" s="1322" t="s">
        <v>488</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489</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976"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255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976"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62</v>
      </c>
      <c r="AH15" s="2331"/>
      <c r="AI15" s="2332" t="s">
        <v>62</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416" customFormat="1" customHeight="1" ht="22.5" hidden="1">
      <c r="L18" s="1511"/>
      <c r="M18" s="1426"/>
      <c r="N18" s="1426"/>
      <c r="O18" s="1431" t="s">
        <v>419</v>
      </c>
      <c r="P18" s="1426"/>
      <c r="Q18" s="1435"/>
      <c r="R18" s="1435"/>
      <c r="S18" s="793"/>
      <c r="Y18" s="1431"/>
      <c r="AA18" s="1431"/>
      <c r="AB18" s="1430"/>
      <c r="AF18" s="1431"/>
      <c r="AH18" s="1431"/>
      <c r="AI18" s="1430"/>
      <c r="AL18" s="575"/>
      <c r="AM18" s="575"/>
      <c r="AN18" s="575"/>
      <c r="AO18" s="575"/>
      <c r="AP18" s="575"/>
      <c r="AQ18" s="1224">
        <v>0</v>
      </c>
    </row>
    <row s="5416" customFormat="1" customHeight="1" ht="14.25" hidden="1">
      <c r="L19" s="1511"/>
      <c r="M19" s="1426"/>
      <c r="N19" s="1426"/>
      <c r="O19" s="1426"/>
      <c r="P19" s="1426"/>
      <c r="Q19" s="1435"/>
      <c r="R19" s="1435"/>
      <c r="S19" s="793"/>
      <c r="AB19" s="1430"/>
      <c r="AI19" s="1430"/>
      <c r="AL19" s="575"/>
      <c r="AM19" s="575"/>
      <c r="AN19" s="575"/>
      <c r="AO19" s="575"/>
      <c r="AP19" s="575"/>
      <c r="AQ19" s="1224">
        <v>0</v>
      </c>
    </row>
    <row s="5416" customFormat="1" customHeight="1" ht="12" hidden="1">
      <c r="L20" s="1511"/>
      <c r="M20" s="1426"/>
      <c r="N20" s="1426"/>
      <c r="O20" s="1428" t="s">
        <v>420</v>
      </c>
      <c r="P20" s="1426"/>
      <c r="Q20" s="1506"/>
      <c r="R20" s="1506"/>
      <c r="S20" s="793"/>
      <c r="T20" s="1224" t="s">
        <v>421</v>
      </c>
      <c r="Z20" s="250" t="s">
        <v>422</v>
      </c>
      <c r="AB20" s="250" t="s">
        <v>423</v>
      </c>
      <c r="AC20" s="1224" t="s">
        <v>421</v>
      </c>
      <c r="AG20" s="250" t="s">
        <v>424</v>
      </c>
      <c r="AI20" s="250" t="s">
        <v>423</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601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УГРЦТ НАО</v>
      </c>
      <c r="W27" s="2315"/>
      <c r="X27" s="2315"/>
      <c r="Y27" s="2315"/>
      <c r="Z27" s="2315"/>
      <c r="AA27" s="2315"/>
      <c r="AB27" s="390"/>
      <c r="AC27" s="2315" t="str">
        <f>IF(TITLE_NAME_OR_PR_CHANGE="",IF(TITLE_NAME_OR_PR="","",TITLE_NAME_OR_PR),TITLE_NAME_OR_PR_CHANGE)</f>
        <v>УГРЦТ НАО</v>
      </c>
      <c r="AD27" s="2315"/>
      <c r="AE27" s="2315"/>
      <c r="AF27" s="2315"/>
      <c r="AG27" s="2315"/>
      <c r="AH27" s="2315"/>
      <c r="AI27" s="390"/>
      <c r="AJ27" s="390"/>
      <c r="AK27" s="344"/>
      <c r="AL27" s="432"/>
      <c r="AM27" s="432"/>
      <c r="AN27" s="432"/>
      <c r="AO27" s="432"/>
      <c r="AP27" s="432"/>
      <c r="AQ27" s="482">
        <v>0</v>
      </c>
    </row>
    <row s="6011" customFormat="1" customHeight="1" ht="18.75">
      <c r="A28" s="1432"/>
      <c r="B28" s="1432"/>
      <c r="C28" s="1432"/>
      <c r="D28" s="1432"/>
      <c r="E28" s="1432"/>
      <c r="F28" s="1432"/>
      <c r="G28" s="1432"/>
      <c r="H28" s="1432"/>
      <c r="I28" s="1432"/>
      <c r="J28" s="1432"/>
      <c r="K28" s="1432"/>
      <c r="L28" s="1433"/>
      <c r="M28" s="1432"/>
      <c r="N28" s="1432"/>
      <c r="O28" s="1432"/>
      <c r="S28" s="2314" t="s">
        <v>425</v>
      </c>
      <c r="T28" s="2314"/>
      <c r="U28" s="1436"/>
      <c r="V28" s="2328" t="str">
        <f>IF(TITLE_DATE_PR_CHANGE="",IF(TITLE_DATE_PR="","",TITLE_DATE_PR),TITLE_DATE_PR_CHANGE)</f>
        <v>46008.48059027778</v>
      </c>
      <c r="W28" s="2328"/>
      <c r="X28" s="2328"/>
      <c r="Y28" s="2328"/>
      <c r="Z28" s="2328"/>
      <c r="AA28" s="2328"/>
      <c r="AB28" s="390"/>
      <c r="AC28" s="2328" t="str">
        <f>IF(TITLE_DATE_PR_CHANGE="",IF(TITLE_DATE_PR="","",TITLE_DATE_PR),TITLE_DATE_PR_CHANGE)</f>
        <v>46008.48059027778</v>
      </c>
      <c r="AD28" s="2328"/>
      <c r="AE28" s="2328"/>
      <c r="AF28" s="2328"/>
      <c r="AG28" s="2328"/>
      <c r="AH28" s="2328"/>
      <c r="AI28" s="390"/>
      <c r="AJ28" s="390"/>
      <c r="AK28" s="344"/>
      <c r="AL28" s="432"/>
      <c r="AM28" s="432"/>
      <c r="AN28" s="432"/>
      <c r="AO28" s="432"/>
      <c r="AP28" s="432"/>
      <c r="AQ28" s="482">
        <v>0</v>
      </c>
    </row>
    <row s="6011" customFormat="1" customHeight="1" ht="18.75">
      <c r="A29" s="1432"/>
      <c r="B29" s="1432"/>
      <c r="C29" s="1432"/>
      <c r="D29" s="1432"/>
      <c r="E29" s="1432"/>
      <c r="F29" s="1432"/>
      <c r="G29" s="1432"/>
      <c r="H29" s="1432"/>
      <c r="I29" s="1432"/>
      <c r="J29" s="1432"/>
      <c r="K29" s="1432"/>
      <c r="L29" s="1433"/>
      <c r="M29" s="1432"/>
      <c r="N29" s="1432"/>
      <c r="O29" s="1432"/>
      <c r="S29" s="2314" t="s">
        <v>426</v>
      </c>
      <c r="T29" s="2314"/>
      <c r="U29" s="1436"/>
      <c r="V29" s="2315" t="str">
        <f>IF(TITLE_NUMBER_PR_CHANGE="",IF(TITLE_NUMBER_PR="","",TITLE_NUMBER_PR),TITLE_NUMBER_PR_CHANGE)</f>
        <v>58</v>
      </c>
      <c r="W29" s="2315"/>
      <c r="X29" s="2315"/>
      <c r="Y29" s="2315"/>
      <c r="Z29" s="2315"/>
      <c r="AA29" s="2315"/>
      <c r="AB29" s="390"/>
      <c r="AC29" s="2315" t="str">
        <f>IF(TITLE_NUMBER_PR_CHANGE="",IF(TITLE_NUMBER_PR="","",TITLE_NUMBER_PR),TITLE_NUMBER_PR_CHANGE)</f>
        <v>58</v>
      </c>
      <c r="AD29" s="2315"/>
      <c r="AE29" s="2315"/>
      <c r="AF29" s="2315"/>
      <c r="AG29" s="2315"/>
      <c r="AH29" s="2315"/>
      <c r="AI29" s="390"/>
      <c r="AJ29" s="390"/>
      <c r="AK29" s="344"/>
      <c r="AL29" s="432"/>
      <c r="AM29" s="432"/>
      <c r="AN29" s="432"/>
      <c r="AO29" s="432"/>
      <c r="AP29" s="432"/>
      <c r="AQ29" s="482">
        <v>0</v>
      </c>
    </row>
    <row s="601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http://pravo.gov.ru</v>
      </c>
      <c r="W30" s="2315"/>
      <c r="X30" s="2315"/>
      <c r="Y30" s="2315"/>
      <c r="Z30" s="2315"/>
      <c r="AA30" s="2315"/>
      <c r="AB30" s="390"/>
      <c r="AC30" s="2315" t="str">
        <f>IF(TITLE_IST_PUB_CHANGE="",IF(TITLE_IST_PUB="","",TITLE_IST_PUB),TITLE_IST_PUB_CHANGE)</f>
        <v>http://pravo.gov.ru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6011" customFormat="1" customHeight="1" ht="18.75" hidden="1">
      <c r="A32" s="1432"/>
      <c r="B32" s="1432"/>
      <c r="C32" s="1432"/>
      <c r="D32" s="1432"/>
      <c r="E32" s="1432"/>
      <c r="F32" s="1432"/>
      <c r="G32" s="1432"/>
      <c r="H32" s="1432"/>
      <c r="I32" s="1432"/>
      <c r="J32" s="1432"/>
      <c r="K32" s="1432"/>
      <c r="L32" s="1433"/>
      <c r="M32" s="1432"/>
      <c r="N32" s="1432"/>
      <c r="O32" s="1432"/>
      <c r="S32" s="2314" t="s">
        <v>427</v>
      </c>
      <c r="T32" s="2314"/>
      <c r="U32" s="1436"/>
      <c r="V32" s="2328" t="str">
        <f>IF(TITLE_DATE_PR_CHANGE="",IF(TITLE_DATE_PR="","",TITLE_DATE_PR),TITLE_DATE_PR_CHANGE)</f>
        <v>46008.48059027778</v>
      </c>
      <c r="W32" s="2328"/>
      <c r="X32" s="2328"/>
      <c r="Y32" s="2328"/>
      <c r="Z32" s="2328"/>
      <c r="AA32" s="2328"/>
      <c r="AB32" s="390"/>
      <c r="AC32" s="2328" t="str">
        <f>IF(TITLE_DATE_PR_CHANGE="",IF(TITLE_DATE_PR="","",TITLE_DATE_PR),TITLE_DATE_PR_CHANGE)</f>
        <v>46008.48059027778</v>
      </c>
      <c r="AD32" s="2328"/>
      <c r="AE32" s="2328"/>
      <c r="AF32" s="2328"/>
      <c r="AG32" s="2328"/>
      <c r="AH32" s="2328"/>
      <c r="AI32" s="390"/>
      <c r="AJ32" s="390"/>
      <c r="AK32" s="344"/>
      <c r="AL32" s="432"/>
      <c r="AM32" s="432"/>
      <c r="AN32" s="432"/>
      <c r="AO32" s="432"/>
      <c r="AP32" s="432"/>
      <c r="AQ32" s="482">
        <v>0</v>
      </c>
    </row>
    <row s="6011" customFormat="1" customHeight="1" ht="18.75" hidden="1">
      <c r="A33" s="1432"/>
      <c r="B33" s="1432"/>
      <c r="C33" s="1432"/>
      <c r="D33" s="1432"/>
      <c r="E33" s="1432"/>
      <c r="F33" s="1432"/>
      <c r="G33" s="1432"/>
      <c r="H33" s="1432"/>
      <c r="I33" s="1432"/>
      <c r="J33" s="1432"/>
      <c r="K33" s="1432"/>
      <c r="L33" s="1433"/>
      <c r="M33" s="1432"/>
      <c r="N33" s="1432"/>
      <c r="O33" s="1432"/>
      <c r="S33" s="2314" t="s">
        <v>428</v>
      </c>
      <c r="T33" s="2314"/>
      <c r="U33" s="1436"/>
      <c r="V33" s="2315" t="str">
        <f>IF(TITLE_NUMBER_PR_CHANGE="",IF(TITLE_NUMBER_PR="","",TITLE_NUMBER_PR),TITLE_NUMBER_PR_CHANGE)</f>
        <v>58</v>
      </c>
      <c r="W33" s="2315"/>
      <c r="X33" s="2315"/>
      <c r="Y33" s="2315"/>
      <c r="Z33" s="2315"/>
      <c r="AA33" s="2315"/>
      <c r="AB33" s="390"/>
      <c r="AC33" s="2315" t="str">
        <f>IF(TITLE_NUMBER_PR_CHANGE="",IF(TITLE_NUMBER_PR="","",TITLE_NUMBER_PR),TITLE_NUMBER_PR_CHANGE)</f>
        <v>58</v>
      </c>
      <c r="AD33" s="2315"/>
      <c r="AE33" s="2315"/>
      <c r="AF33" s="2315"/>
      <c r="AG33" s="2315"/>
      <c r="AH33" s="2315"/>
      <c r="AI33" s="390"/>
      <c r="AJ33" s="390"/>
      <c r="AK33" s="344"/>
      <c r="AL33" s="432"/>
      <c r="AM33" s="432"/>
      <c r="AN33" s="432"/>
      <c r="AO33" s="432"/>
      <c r="AP33" s="432"/>
      <c r="AQ33" s="482">
        <v>0</v>
      </c>
    </row>
    <row s="601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429</v>
      </c>
      <c r="AC34" s="390"/>
      <c r="AD34" s="390"/>
      <c r="AE34" s="390"/>
      <c r="AF34" s="390"/>
      <c r="AG34" s="390"/>
      <c r="AH34" s="390"/>
      <c r="AI34" s="342" t="s">
        <v>429</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89</v>
      </c>
      <c r="T37" s="2273" t="s">
        <v>430</v>
      </c>
      <c r="U37" s="365"/>
      <c r="V37" s="2338" t="s">
        <v>431</v>
      </c>
      <c r="W37" s="2339"/>
      <c r="X37" s="2339"/>
      <c r="Y37" s="2339"/>
      <c r="Z37" s="2339"/>
      <c r="AA37" s="2340"/>
      <c r="AB37" s="2341" t="s">
        <v>432</v>
      </c>
      <c r="AC37" s="2338" t="s">
        <v>431</v>
      </c>
      <c r="AD37" s="2339"/>
      <c r="AE37" s="2339"/>
      <c r="AF37" s="2339"/>
      <c r="AG37" s="2339"/>
      <c r="AH37" s="2340"/>
      <c r="AI37" s="2341" t="s">
        <v>433</v>
      </c>
      <c r="AJ37" s="2344" t="s">
        <v>434</v>
      </c>
      <c r="AK37" s="2191"/>
      <c r="AQ37" s="1219">
        <v>14</v>
      </c>
    </row>
    <row customHeight="1" ht="35.699999999999996">
      <c r="Q38" s="440"/>
      <c r="R38" s="440"/>
      <c r="S38" s="2337"/>
      <c r="T38" s="2273"/>
      <c r="U38" s="1095"/>
      <c r="V38" s="1516" t="s">
        <v>490</v>
      </c>
      <c r="W38" s="2326" t="s">
        <v>437</v>
      </c>
      <c r="X38" s="2327"/>
      <c r="Y38" s="2326" t="s">
        <v>438</v>
      </c>
      <c r="Z38" s="2333"/>
      <c r="AA38" s="2327"/>
      <c r="AB38" s="2342"/>
      <c r="AC38" s="1516" t="s">
        <v>490</v>
      </c>
      <c r="AD38" s="2326" t="s">
        <v>437</v>
      </c>
      <c r="AE38" s="2327"/>
      <c r="AF38" s="2326" t="s">
        <v>438</v>
      </c>
      <c r="AG38" s="2333"/>
      <c r="AH38" s="2327"/>
      <c r="AI38" s="2342"/>
      <c r="AJ38" s="2345"/>
      <c r="AK38" s="2191"/>
      <c r="AQ38" s="1219">
        <v>34</v>
      </c>
    </row>
    <row customHeight="1" ht="35.699999999999996">
      <c r="A39" s="1434"/>
      <c r="B39" s="1434" t="s">
        <v>136</v>
      </c>
      <c r="C39" s="1434" t="s">
        <v>137</v>
      </c>
      <c r="D39" s="1434" t="s">
        <v>138</v>
      </c>
      <c r="E39" s="1428" t="s">
        <v>439</v>
      </c>
      <c r="F39" s="1428" t="s">
        <v>440</v>
      </c>
      <c r="G39" s="1428" t="s">
        <v>441</v>
      </c>
      <c r="H39" s="1428"/>
      <c r="I39" s="1428" t="s">
        <v>491</v>
      </c>
      <c r="J39" s="1428" t="s">
        <v>444</v>
      </c>
      <c r="K39" s="1428" t="s">
        <v>492</v>
      </c>
      <c r="L39" s="1428" t="s">
        <v>420</v>
      </c>
      <c r="Q39" s="440"/>
      <c r="R39" s="440"/>
      <c r="S39" s="2337"/>
      <c r="T39" s="2273"/>
      <c r="U39" s="366"/>
      <c r="V39" s="1516" t="s">
        <v>493</v>
      </c>
      <c r="W39" s="1286" t="s">
        <v>494</v>
      </c>
      <c r="X39" s="1286" t="s">
        <v>495</v>
      </c>
      <c r="Y39" s="1519" t="s">
        <v>448</v>
      </c>
      <c r="Z39" s="2334" t="s">
        <v>449</v>
      </c>
      <c r="AA39" s="2335"/>
      <c r="AB39" s="2343"/>
      <c r="AC39" s="1516" t="s">
        <v>493</v>
      </c>
      <c r="AD39" s="1286" t="s">
        <v>494</v>
      </c>
      <c r="AE39" s="1286" t="s">
        <v>495</v>
      </c>
      <c r="AF39" s="1519" t="s">
        <v>448</v>
      </c>
      <c r="AG39" s="2334" t="s">
        <v>449</v>
      </c>
      <c r="AH39" s="2335"/>
      <c r="AI39" s="2343"/>
      <c r="AJ39" s="2346"/>
      <c r="AK39" s="2191"/>
      <c r="AQ39" s="1219">
        <v>34</v>
      </c>
    </row>
    <row s="3710"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124</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235</v>
      </c>
      <c r="B42" s="1427" t="s">
        <v>236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235</v>
      </c>
      <c r="B43" s="1427" t="s">
        <v>236</v>
      </c>
      <c r="C43" s="1427" t="s">
        <v>237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482</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483</v>
      </c>
      <c r="AM43" s="564"/>
      <c r="AN43" s="564" t="str">
        <f>IF(T43="","",T43)</f>
        <v>Наименование централизованной системы холодного водоснабжения</v>
      </c>
      <c r="AO43" s="564"/>
      <c r="AP43" s="564"/>
      <c r="AQ43" s="1219">
        <v>23</v>
      </c>
    </row>
    <row customHeight="1" ht="24">
      <c r="A44" s="1427" t="s">
        <v>235</v>
      </c>
      <c r="B44" s="1427" t="s">
        <v>236</v>
      </c>
      <c r="C44" s="1427" t="s">
        <v>237</v>
      </c>
      <c r="D44" s="1427" t="s">
        <v>498</v>
      </c>
      <c r="E44" s="2323"/>
      <c r="F44" s="2323"/>
      <c r="G44" s="2323"/>
      <c r="H44" s="2323"/>
      <c r="I44" s="2320" t="str">
        <f>S43&amp;".1"</f>
        <v>...1</v>
      </c>
      <c r="J44" s="1427"/>
      <c r="K44" s="1427"/>
      <c r="L44" s="1428"/>
      <c r="P44" s="2321">
        <v>1</v>
      </c>
      <c r="Q44" s="1514"/>
      <c r="R44" s="420"/>
      <c r="S44" s="1521" t="str">
        <f>$I44</f>
        <v>...1</v>
      </c>
      <c r="T44" s="349" t="s">
        <v>484</v>
      </c>
      <c r="U44" s="364"/>
      <c r="V44" s="2414"/>
      <c r="W44" s="2415"/>
      <c r="X44" s="2415"/>
      <c r="Y44" s="2415"/>
      <c r="Z44" s="2415"/>
      <c r="AA44" s="2415"/>
      <c r="AB44" s="2416"/>
      <c r="AC44" s="2417"/>
      <c r="AD44" s="2418"/>
      <c r="AE44" s="2418"/>
      <c r="AF44" s="2418"/>
      <c r="AG44" s="2418"/>
      <c r="AH44" s="2418"/>
      <c r="AI44" s="2418"/>
      <c r="AJ44" s="2419"/>
      <c r="AK44" s="1322" t="s">
        <v>485</v>
      </c>
      <c r="AM44" s="564"/>
      <c r="AN44" s="564" t="str">
        <f>IF(T44="","",T44)</f>
        <v>Наименование признака дифференциации</v>
      </c>
      <c r="AO44" s="564"/>
      <c r="AP44" s="564"/>
      <c r="AQ44" s="1219">
        <v>23</v>
      </c>
    </row>
    <row customHeight="1" ht="24">
      <c r="A45" s="1427" t="s">
        <v>235</v>
      </c>
      <c r="B45" s="1427" t="s">
        <v>236</v>
      </c>
      <c r="C45" s="1427" t="s">
        <v>237</v>
      </c>
      <c r="D45" s="1427" t="s">
        <v>498</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486</v>
      </c>
      <c r="AM45" s="564"/>
      <c r="AN45" s="564" t="str">
        <f>IF(T45="","",T45)</f>
        <v>Группа потребителей</v>
      </c>
      <c r="AO45" s="564"/>
      <c r="AP45" s="564"/>
      <c r="AQ45" s="1219">
        <v>23</v>
      </c>
    </row>
    <row customHeight="1" ht="24">
      <c r="A46" s="1427" t="s">
        <v>235</v>
      </c>
      <c r="B46" s="1427" t="s">
        <v>236</v>
      </c>
      <c r="C46" s="1427" t="s">
        <v>237</v>
      </c>
      <c r="D46" s="1427" t="s">
        <v>498</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62</v>
      </c>
      <c r="AA46" s="2329"/>
      <c r="AB46" s="2171" t="s">
        <v>62</v>
      </c>
      <c r="AC46" s="815"/>
      <c r="AD46" s="815"/>
      <c r="AE46" s="1321"/>
      <c r="AF46" s="2329"/>
      <c r="AG46" s="2171" t="s">
        <v>62</v>
      </c>
      <c r="AH46" s="2351"/>
      <c r="AI46" s="2171" t="s">
        <v>62</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235</v>
      </c>
      <c r="B47" s="1427" t="s">
        <v>236</v>
      </c>
      <c r="C47" s="1427" t="s">
        <v>237</v>
      </c>
      <c r="D47" s="1427" t="s">
        <v>498</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235</v>
      </c>
      <c r="B48" s="1427" t="s">
        <v>236</v>
      </c>
      <c r="C48" s="1427" t="s">
        <v>237</v>
      </c>
      <c r="D48" s="1427" t="s">
        <v>498</v>
      </c>
      <c r="E48" s="2323"/>
      <c r="F48" s="2323"/>
      <c r="G48" s="2323"/>
      <c r="H48" s="2323"/>
      <c r="I48" s="2350"/>
      <c r="J48" s="2320"/>
      <c r="K48" s="1427"/>
      <c r="L48" s="1428"/>
      <c r="P48" s="2321"/>
      <c r="Q48" s="2321"/>
      <c r="R48" s="420"/>
      <c r="S48" s="1342"/>
      <c r="T48" s="351" t="s">
        <v>487</v>
      </c>
      <c r="U48" s="431"/>
      <c r="V48" s="431"/>
      <c r="W48" s="431"/>
      <c r="X48" s="431"/>
      <c r="Y48" s="431"/>
      <c r="Z48" s="431"/>
      <c r="AA48" s="431"/>
      <c r="AB48" s="431"/>
      <c r="AC48" s="431"/>
      <c r="AD48" s="431"/>
      <c r="AE48" s="431"/>
      <c r="AF48" s="431"/>
      <c r="AG48" s="431"/>
      <c r="AH48" s="431"/>
      <c r="AI48" s="431"/>
      <c r="AJ48" s="431"/>
      <c r="AK48" s="1322" t="s">
        <v>488</v>
      </c>
      <c r="AM48" s="564"/>
      <c r="AN48" s="564" t="str">
        <f>IF(T48="","",T48)</f>
        <v>Добавить значение признака дифференциации</v>
      </c>
      <c r="AO48" s="564"/>
      <c r="AP48" s="564"/>
      <c r="AQ48" s="1219">
        <v>20</v>
      </c>
    </row>
    <row customHeight="1" ht="22.049999999999997">
      <c r="A49" s="1427" t="s">
        <v>235</v>
      </c>
      <c r="B49" s="1427" t="s">
        <v>236</v>
      </c>
      <c r="C49" s="1427" t="s">
        <v>237</v>
      </c>
      <c r="D49" s="1427" t="s">
        <v>498</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235</v>
      </c>
      <c r="B50" s="1427" t="s">
        <v>236</v>
      </c>
      <c r="C50" s="1427" t="s">
        <v>237</v>
      </c>
      <c r="D50" s="1427" t="s">
        <v>498</v>
      </c>
      <c r="E50" s="2323"/>
      <c r="F50" s="2323"/>
      <c r="G50" s="2323"/>
      <c r="H50" s="2322"/>
      <c r="I50" s="1427"/>
      <c r="J50" s="1427"/>
      <c r="K50" s="1427"/>
      <c r="L50" s="1428"/>
      <c r="M50" s="1429"/>
      <c r="N50" s="1429"/>
      <c r="O50" s="601"/>
      <c r="P50" s="424"/>
      <c r="Q50" s="439"/>
      <c r="R50" s="419"/>
      <c r="S50" s="1342"/>
      <c r="T50" s="436" t="s">
        <v>489</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976" customFormat="1" customHeight="1" ht="0">
      <c r="A51" s="1407" t="s">
        <v>235</v>
      </c>
      <c r="B51" s="1407" t="s">
        <v>236</v>
      </c>
      <c r="C51" s="1378"/>
      <c r="D51" s="1378"/>
      <c r="E51" s="2323"/>
      <c r="F51" s="2322"/>
      <c r="G51" s="1378"/>
      <c r="H51" s="1378"/>
      <c r="I51" s="1378"/>
      <c r="J51" s="1378"/>
      <c r="K51" s="1378"/>
      <c r="L51" s="1522"/>
      <c r="M51" s="1385"/>
      <c r="N51" s="1385"/>
      <c r="P51" s="1380"/>
      <c r="Q51" s="1381"/>
      <c r="R51" s="1380"/>
      <c r="S51" s="1386"/>
      <c r="T51" s="1389" t="s">
        <v>255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976" customFormat="1" customHeight="1" ht="0">
      <c r="A52" s="1407" t="s">
        <v>235</v>
      </c>
      <c r="B52" s="1407"/>
      <c r="C52" s="1407"/>
      <c r="D52" s="1407"/>
      <c r="E52" s="2322"/>
      <c r="F52" s="1407"/>
      <c r="G52" s="1407"/>
      <c r="H52" s="1407"/>
      <c r="I52" s="1407"/>
      <c r="J52" s="1407"/>
      <c r="K52" s="1407"/>
      <c r="L52" s="1410"/>
      <c r="M52" s="1385"/>
      <c r="N52" s="1385"/>
      <c r="O52" s="582"/>
      <c r="P52" s="444"/>
      <c r="Q52" s="1408"/>
      <c r="R52" s="444"/>
      <c r="S52" s="1386"/>
      <c r="T52" s="1389" t="s">
        <v>256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976"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257</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83</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12593-959F-B652-7104-0.4743C2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4.140625" hidden="1" customWidth="1"/>
    <col min="10" max="10" style="5416" width="9.8515625" hidden="1" customWidth="1"/>
    <col min="11" max="11" style="5416" width="14.71093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4" style="5468" width="24.7109375" hidden="1" customWidth="1"/>
    <col min="25" max="25" style="5468" width="11.7109375" hidden="1" customWidth="1"/>
    <col min="26" max="26" style="5468" width="3.7109375" hidden="1" customWidth="1"/>
    <col min="27" max="27" style="5468" width="11.7109375" hidden="1" customWidth="1"/>
    <col min="28" max="28" style="5468" width="8.57421875" hidden="1" customWidth="1"/>
    <col min="29" max="29" style="5468" width="24.7109375" customWidth="1"/>
    <col min="30" max="31" style="5468" width="24.00390625" customWidth="1"/>
    <col min="32" max="32" style="5468" width="11.00390625" customWidth="1"/>
    <col min="33" max="33" style="5468" width="3.7109375" customWidth="1"/>
    <col min="34" max="34" style="5468" width="11.00390625" customWidth="1"/>
    <col min="35" max="35" style="5468" width="8.57421875" hidden="1" customWidth="1"/>
    <col min="36" max="36" style="5468" width="4.00390625" customWidth="1"/>
    <col min="37" max="37" style="5468" width="115.00390625" customWidth="1"/>
    <col min="38" max="42" style="4976" width="10.00390625" customWidth="1"/>
    <col min="43" max="43" style="546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124</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482</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483</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484</v>
      </c>
      <c r="U5" s="364"/>
      <c r="V5" s="2414"/>
      <c r="W5" s="2415"/>
      <c r="X5" s="2415"/>
      <c r="Y5" s="2415"/>
      <c r="Z5" s="2415"/>
      <c r="AA5" s="2415"/>
      <c r="AB5" s="2416"/>
      <c r="AC5" s="2417"/>
      <c r="AD5" s="2418"/>
      <c r="AE5" s="2418"/>
      <c r="AF5" s="2418"/>
      <c r="AG5" s="2418"/>
      <c r="AH5" s="2418"/>
      <c r="AI5" s="2418"/>
      <c r="AJ5" s="2419"/>
      <c r="AK5" s="1322" t="s">
        <v>485</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486</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62</v>
      </c>
      <c r="AA7" s="2329"/>
      <c r="AB7" s="2171" t="s">
        <v>62</v>
      </c>
      <c r="AC7" s="815"/>
      <c r="AD7" s="815"/>
      <c r="AE7" s="1321"/>
      <c r="AF7" s="2329"/>
      <c r="AG7" s="2171" t="s">
        <v>62</v>
      </c>
      <c r="AH7" s="2351"/>
      <c r="AI7" s="2171" t="s">
        <v>62</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487</v>
      </c>
      <c r="U9" s="431"/>
      <c r="V9" s="431"/>
      <c r="W9" s="431"/>
      <c r="X9" s="431"/>
      <c r="Y9" s="431"/>
      <c r="Z9" s="431"/>
      <c r="AA9" s="431"/>
      <c r="AB9" s="431"/>
      <c r="AC9" s="431"/>
      <c r="AD9" s="431"/>
      <c r="AE9" s="431"/>
      <c r="AF9" s="431"/>
      <c r="AG9" s="431"/>
      <c r="AH9" s="431"/>
      <c r="AI9" s="431"/>
      <c r="AJ9" s="431"/>
      <c r="AK9" s="1322" t="s">
        <v>488</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489</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976"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255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976"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62</v>
      </c>
      <c r="AH15" s="2331"/>
      <c r="AI15" s="2332" t="s">
        <v>62</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416" customFormat="1" customHeight="1" ht="22.5" hidden="1">
      <c r="L18" s="1511"/>
      <c r="M18" s="1426"/>
      <c r="N18" s="1426"/>
      <c r="O18" s="1431" t="s">
        <v>419</v>
      </c>
      <c r="P18" s="1426"/>
      <c r="Q18" s="1435"/>
      <c r="R18" s="1435"/>
      <c r="S18" s="793"/>
      <c r="Y18" s="1431"/>
      <c r="AA18" s="1431"/>
      <c r="AB18" s="1430"/>
      <c r="AF18" s="1431"/>
      <c r="AH18" s="1431"/>
      <c r="AI18" s="1430"/>
      <c r="AL18" s="575"/>
      <c r="AM18" s="575"/>
      <c r="AN18" s="575"/>
      <c r="AO18" s="575"/>
      <c r="AP18" s="575"/>
      <c r="AQ18" s="1224">
        <v>0</v>
      </c>
    </row>
    <row s="5416" customFormat="1" customHeight="1" ht="14.25" hidden="1">
      <c r="L19" s="1511"/>
      <c r="M19" s="1426"/>
      <c r="N19" s="1426"/>
      <c r="O19" s="1426"/>
      <c r="P19" s="1426"/>
      <c r="Q19" s="1435"/>
      <c r="R19" s="1435"/>
      <c r="S19" s="793"/>
      <c r="AB19" s="1430"/>
      <c r="AI19" s="1430"/>
      <c r="AL19" s="575"/>
      <c r="AM19" s="575"/>
      <c r="AN19" s="575"/>
      <c r="AO19" s="575"/>
      <c r="AP19" s="575"/>
      <c r="AQ19" s="1224">
        <v>0</v>
      </c>
    </row>
    <row s="5416" customFormat="1" customHeight="1" ht="12" hidden="1">
      <c r="L20" s="1511"/>
      <c r="M20" s="1426"/>
      <c r="N20" s="1426"/>
      <c r="O20" s="1428" t="s">
        <v>420</v>
      </c>
      <c r="P20" s="1426"/>
      <c r="Q20" s="1506"/>
      <c r="R20" s="1506"/>
      <c r="S20" s="793"/>
      <c r="T20" s="1224" t="s">
        <v>421</v>
      </c>
      <c r="Z20" s="250" t="s">
        <v>422</v>
      </c>
      <c r="AB20" s="250" t="s">
        <v>423</v>
      </c>
      <c r="AC20" s="1224" t="s">
        <v>421</v>
      </c>
      <c r="AG20" s="250" t="s">
        <v>424</v>
      </c>
      <c r="AI20" s="250" t="s">
        <v>423</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601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УГРЦТ НАО</v>
      </c>
      <c r="W27" s="2315"/>
      <c r="X27" s="2315"/>
      <c r="Y27" s="2315"/>
      <c r="Z27" s="2315"/>
      <c r="AA27" s="2315"/>
      <c r="AB27" s="390"/>
      <c r="AC27" s="2315" t="str">
        <f>IF(TITLE_NAME_OR_PR_CHANGE="",IF(TITLE_NAME_OR_PR="","",TITLE_NAME_OR_PR),TITLE_NAME_OR_PR_CHANGE)</f>
        <v>УГРЦТ НАО</v>
      </c>
      <c r="AD27" s="2315"/>
      <c r="AE27" s="2315"/>
      <c r="AF27" s="2315"/>
      <c r="AG27" s="2315"/>
      <c r="AH27" s="2315"/>
      <c r="AI27" s="390"/>
      <c r="AJ27" s="390"/>
      <c r="AK27" s="344"/>
      <c r="AL27" s="432"/>
      <c r="AM27" s="432"/>
      <c r="AN27" s="432"/>
      <c r="AO27" s="432"/>
      <c r="AP27" s="432"/>
      <c r="AQ27" s="482">
        <v>0</v>
      </c>
    </row>
    <row s="6011" customFormat="1" customHeight="1" ht="18.75">
      <c r="A28" s="1432"/>
      <c r="B28" s="1432"/>
      <c r="C28" s="1432"/>
      <c r="D28" s="1432"/>
      <c r="E28" s="1432"/>
      <c r="F28" s="1432"/>
      <c r="G28" s="1432"/>
      <c r="H28" s="1432"/>
      <c r="I28" s="1432"/>
      <c r="J28" s="1432"/>
      <c r="K28" s="1432"/>
      <c r="L28" s="1433"/>
      <c r="M28" s="1432"/>
      <c r="N28" s="1432"/>
      <c r="O28" s="1432"/>
      <c r="S28" s="2314" t="s">
        <v>425</v>
      </c>
      <c r="T28" s="2314"/>
      <c r="U28" s="1436"/>
      <c r="V28" s="2328" t="str">
        <f>IF(TITLE_DATE_PR_CHANGE="",IF(TITLE_DATE_PR="","",TITLE_DATE_PR),TITLE_DATE_PR_CHANGE)</f>
        <v>46008.48059027778</v>
      </c>
      <c r="W28" s="2328"/>
      <c r="X28" s="2328"/>
      <c r="Y28" s="2328"/>
      <c r="Z28" s="2328"/>
      <c r="AA28" s="2328"/>
      <c r="AB28" s="390"/>
      <c r="AC28" s="2328" t="str">
        <f>IF(TITLE_DATE_PR_CHANGE="",IF(TITLE_DATE_PR="","",TITLE_DATE_PR),TITLE_DATE_PR_CHANGE)</f>
        <v>46008.48059027778</v>
      </c>
      <c r="AD28" s="2328"/>
      <c r="AE28" s="2328"/>
      <c r="AF28" s="2328"/>
      <c r="AG28" s="2328"/>
      <c r="AH28" s="2328"/>
      <c r="AI28" s="390"/>
      <c r="AJ28" s="390"/>
      <c r="AK28" s="344"/>
      <c r="AL28" s="432"/>
      <c r="AM28" s="432"/>
      <c r="AN28" s="432"/>
      <c r="AO28" s="432"/>
      <c r="AP28" s="432"/>
      <c r="AQ28" s="482">
        <v>0</v>
      </c>
    </row>
    <row s="6011" customFormat="1" customHeight="1" ht="18.75">
      <c r="A29" s="1432"/>
      <c r="B29" s="1432"/>
      <c r="C29" s="1432"/>
      <c r="D29" s="1432"/>
      <c r="E29" s="1432"/>
      <c r="F29" s="1432"/>
      <c r="G29" s="1432"/>
      <c r="H29" s="1432"/>
      <c r="I29" s="1432"/>
      <c r="J29" s="1432"/>
      <c r="K29" s="1432"/>
      <c r="L29" s="1433"/>
      <c r="M29" s="1432"/>
      <c r="N29" s="1432"/>
      <c r="O29" s="1432"/>
      <c r="S29" s="2314" t="s">
        <v>426</v>
      </c>
      <c r="T29" s="2314"/>
      <c r="U29" s="1436"/>
      <c r="V29" s="2315" t="str">
        <f>IF(TITLE_NUMBER_PR_CHANGE="",IF(TITLE_NUMBER_PR="","",TITLE_NUMBER_PR),TITLE_NUMBER_PR_CHANGE)</f>
        <v>58</v>
      </c>
      <c r="W29" s="2315"/>
      <c r="X29" s="2315"/>
      <c r="Y29" s="2315"/>
      <c r="Z29" s="2315"/>
      <c r="AA29" s="2315"/>
      <c r="AB29" s="390"/>
      <c r="AC29" s="2315" t="str">
        <f>IF(TITLE_NUMBER_PR_CHANGE="",IF(TITLE_NUMBER_PR="","",TITLE_NUMBER_PR),TITLE_NUMBER_PR_CHANGE)</f>
        <v>58</v>
      </c>
      <c r="AD29" s="2315"/>
      <c r="AE29" s="2315"/>
      <c r="AF29" s="2315"/>
      <c r="AG29" s="2315"/>
      <c r="AH29" s="2315"/>
      <c r="AI29" s="390"/>
      <c r="AJ29" s="390"/>
      <c r="AK29" s="344"/>
      <c r="AL29" s="432"/>
      <c r="AM29" s="432"/>
      <c r="AN29" s="432"/>
      <c r="AO29" s="432"/>
      <c r="AP29" s="432"/>
      <c r="AQ29" s="482">
        <v>0</v>
      </c>
    </row>
    <row s="601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http://pravo.gov.ru</v>
      </c>
      <c r="W30" s="2315"/>
      <c r="X30" s="2315"/>
      <c r="Y30" s="2315"/>
      <c r="Z30" s="2315"/>
      <c r="AA30" s="2315"/>
      <c r="AB30" s="390"/>
      <c r="AC30" s="2315" t="str">
        <f>IF(TITLE_IST_PUB_CHANGE="",IF(TITLE_IST_PUB="","",TITLE_IST_PUB),TITLE_IST_PUB_CHANGE)</f>
        <v>http://pravo.gov.ru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6011" customFormat="1" customHeight="1" ht="18.75" hidden="1">
      <c r="A32" s="1432"/>
      <c r="B32" s="1432"/>
      <c r="C32" s="1432"/>
      <c r="D32" s="1432"/>
      <c r="E32" s="1432"/>
      <c r="F32" s="1432"/>
      <c r="G32" s="1432"/>
      <c r="H32" s="1432"/>
      <c r="I32" s="1432"/>
      <c r="J32" s="1432"/>
      <c r="K32" s="1432"/>
      <c r="L32" s="1433"/>
      <c r="M32" s="1432"/>
      <c r="N32" s="1432"/>
      <c r="O32" s="1432"/>
      <c r="S32" s="2314" t="s">
        <v>427</v>
      </c>
      <c r="T32" s="2314"/>
      <c r="U32" s="1436"/>
      <c r="V32" s="2328" t="str">
        <f>IF(TITLE_DATE_PR_CHANGE="",IF(TITLE_DATE_PR="","",TITLE_DATE_PR),TITLE_DATE_PR_CHANGE)</f>
        <v>46008.48059027778</v>
      </c>
      <c r="W32" s="2328"/>
      <c r="X32" s="2328"/>
      <c r="Y32" s="2328"/>
      <c r="Z32" s="2328"/>
      <c r="AA32" s="2328"/>
      <c r="AB32" s="390"/>
      <c r="AC32" s="2328" t="str">
        <f>IF(TITLE_DATE_PR_CHANGE="",IF(TITLE_DATE_PR="","",TITLE_DATE_PR),TITLE_DATE_PR_CHANGE)</f>
        <v>46008.48059027778</v>
      </c>
      <c r="AD32" s="2328"/>
      <c r="AE32" s="2328"/>
      <c r="AF32" s="2328"/>
      <c r="AG32" s="2328"/>
      <c r="AH32" s="2328"/>
      <c r="AI32" s="390"/>
      <c r="AJ32" s="390"/>
      <c r="AK32" s="344"/>
      <c r="AL32" s="432"/>
      <c r="AM32" s="432"/>
      <c r="AN32" s="432"/>
      <c r="AO32" s="432"/>
      <c r="AP32" s="432"/>
      <c r="AQ32" s="482">
        <v>0</v>
      </c>
    </row>
    <row s="6011" customFormat="1" customHeight="1" ht="18.75" hidden="1">
      <c r="A33" s="1432"/>
      <c r="B33" s="1432"/>
      <c r="C33" s="1432"/>
      <c r="D33" s="1432"/>
      <c r="E33" s="1432"/>
      <c r="F33" s="1432"/>
      <c r="G33" s="1432"/>
      <c r="H33" s="1432"/>
      <c r="I33" s="1432"/>
      <c r="J33" s="1432"/>
      <c r="K33" s="1432"/>
      <c r="L33" s="1433"/>
      <c r="M33" s="1432"/>
      <c r="N33" s="1432"/>
      <c r="O33" s="1432"/>
      <c r="S33" s="2314" t="s">
        <v>428</v>
      </c>
      <c r="T33" s="2314"/>
      <c r="U33" s="1436"/>
      <c r="V33" s="2315" t="str">
        <f>IF(TITLE_NUMBER_PR_CHANGE="",IF(TITLE_NUMBER_PR="","",TITLE_NUMBER_PR),TITLE_NUMBER_PR_CHANGE)</f>
        <v>58</v>
      </c>
      <c r="W33" s="2315"/>
      <c r="X33" s="2315"/>
      <c r="Y33" s="2315"/>
      <c r="Z33" s="2315"/>
      <c r="AA33" s="2315"/>
      <c r="AB33" s="390"/>
      <c r="AC33" s="2315" t="str">
        <f>IF(TITLE_NUMBER_PR_CHANGE="",IF(TITLE_NUMBER_PR="","",TITLE_NUMBER_PR),TITLE_NUMBER_PR_CHANGE)</f>
        <v>58</v>
      </c>
      <c r="AD33" s="2315"/>
      <c r="AE33" s="2315"/>
      <c r="AF33" s="2315"/>
      <c r="AG33" s="2315"/>
      <c r="AH33" s="2315"/>
      <c r="AI33" s="390"/>
      <c r="AJ33" s="390"/>
      <c r="AK33" s="344"/>
      <c r="AL33" s="432"/>
      <c r="AM33" s="432"/>
      <c r="AN33" s="432"/>
      <c r="AO33" s="432"/>
      <c r="AP33" s="432"/>
      <c r="AQ33" s="482">
        <v>0</v>
      </c>
    </row>
    <row s="601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429</v>
      </c>
      <c r="AC34" s="390"/>
      <c r="AD34" s="390"/>
      <c r="AE34" s="390"/>
      <c r="AF34" s="390"/>
      <c r="AG34" s="390"/>
      <c r="AH34" s="390"/>
      <c r="AI34" s="342" t="s">
        <v>429</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89</v>
      </c>
      <c r="T37" s="2273" t="s">
        <v>430</v>
      </c>
      <c r="U37" s="365"/>
      <c r="V37" s="2338" t="s">
        <v>431</v>
      </c>
      <c r="W37" s="2339"/>
      <c r="X37" s="2339"/>
      <c r="Y37" s="2339"/>
      <c r="Z37" s="2339"/>
      <c r="AA37" s="2340"/>
      <c r="AB37" s="2341" t="s">
        <v>432</v>
      </c>
      <c r="AC37" s="2338" t="s">
        <v>431</v>
      </c>
      <c r="AD37" s="2339"/>
      <c r="AE37" s="2339"/>
      <c r="AF37" s="2339"/>
      <c r="AG37" s="2339"/>
      <c r="AH37" s="2340"/>
      <c r="AI37" s="2341" t="s">
        <v>433</v>
      </c>
      <c r="AJ37" s="2344" t="s">
        <v>434</v>
      </c>
      <c r="AK37" s="2191"/>
      <c r="AQ37" s="1219">
        <v>14</v>
      </c>
    </row>
    <row customHeight="1" ht="35.699999999999996">
      <c r="Q38" s="440"/>
      <c r="R38" s="440"/>
      <c r="S38" s="2337"/>
      <c r="T38" s="2273"/>
      <c r="U38" s="1095"/>
      <c r="V38" s="1516" t="s">
        <v>490</v>
      </c>
      <c r="W38" s="2326" t="s">
        <v>437</v>
      </c>
      <c r="X38" s="2327"/>
      <c r="Y38" s="2326" t="s">
        <v>438</v>
      </c>
      <c r="Z38" s="2333"/>
      <c r="AA38" s="2327"/>
      <c r="AB38" s="2342"/>
      <c r="AC38" s="1516" t="s">
        <v>490</v>
      </c>
      <c r="AD38" s="2326" t="s">
        <v>437</v>
      </c>
      <c r="AE38" s="2327"/>
      <c r="AF38" s="2326" t="s">
        <v>438</v>
      </c>
      <c r="AG38" s="2333"/>
      <c r="AH38" s="2327"/>
      <c r="AI38" s="2342"/>
      <c r="AJ38" s="2345"/>
      <c r="AK38" s="2191"/>
      <c r="AQ38" s="1219">
        <v>34</v>
      </c>
    </row>
    <row customHeight="1" ht="35.699999999999996">
      <c r="A39" s="1434"/>
      <c r="B39" s="1434" t="s">
        <v>136</v>
      </c>
      <c r="C39" s="1434" t="s">
        <v>137</v>
      </c>
      <c r="D39" s="1434" t="s">
        <v>138</v>
      </c>
      <c r="E39" s="1428" t="s">
        <v>439</v>
      </c>
      <c r="F39" s="1428" t="s">
        <v>440</v>
      </c>
      <c r="G39" s="1428" t="s">
        <v>441</v>
      </c>
      <c r="H39" s="1428"/>
      <c r="I39" s="1428" t="s">
        <v>491</v>
      </c>
      <c r="J39" s="1428" t="s">
        <v>444</v>
      </c>
      <c r="K39" s="1428" t="s">
        <v>492</v>
      </c>
      <c r="L39" s="1428" t="s">
        <v>420</v>
      </c>
      <c r="Q39" s="440"/>
      <c r="R39" s="440"/>
      <c r="S39" s="2337"/>
      <c r="T39" s="2273"/>
      <c r="U39" s="366"/>
      <c r="V39" s="1516" t="s">
        <v>493</v>
      </c>
      <c r="W39" s="1286" t="s">
        <v>494</v>
      </c>
      <c r="X39" s="1286" t="s">
        <v>495</v>
      </c>
      <c r="Y39" s="1519" t="s">
        <v>448</v>
      </c>
      <c r="Z39" s="2334" t="s">
        <v>449</v>
      </c>
      <c r="AA39" s="2335"/>
      <c r="AB39" s="2343"/>
      <c r="AC39" s="1516" t="s">
        <v>493</v>
      </c>
      <c r="AD39" s="1286" t="s">
        <v>494</v>
      </c>
      <c r="AE39" s="1286" t="s">
        <v>495</v>
      </c>
      <c r="AF39" s="1519" t="s">
        <v>448</v>
      </c>
      <c r="AG39" s="2334" t="s">
        <v>449</v>
      </c>
      <c r="AH39" s="2335"/>
      <c r="AI39" s="2343"/>
      <c r="AJ39" s="2346"/>
      <c r="AK39" s="2191"/>
      <c r="AQ39" s="1219">
        <v>34</v>
      </c>
    </row>
    <row s="3710"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240</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124</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240</v>
      </c>
      <c r="B42" s="1427" t="s">
        <v>241</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240</v>
      </c>
      <c r="B43" s="1427" t="s">
        <v>241</v>
      </c>
      <c r="C43" s="1427" t="s">
        <v>242</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482</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483</v>
      </c>
      <c r="AM43" s="564"/>
      <c r="AN43" s="564" t="str">
        <f>IF(T43="","",T43)</f>
        <v>Наименование централизованной системы холодного водоснабжения</v>
      </c>
      <c r="AO43" s="564"/>
      <c r="AP43" s="564"/>
      <c r="AQ43" s="1219">
        <v>23</v>
      </c>
    </row>
    <row customHeight="1" ht="24">
      <c r="A44" s="1427" t="s">
        <v>240</v>
      </c>
      <c r="B44" s="1427" t="s">
        <v>241</v>
      </c>
      <c r="C44" s="1427" t="s">
        <v>242</v>
      </c>
      <c r="D44" s="1427" t="s">
        <v>499</v>
      </c>
      <c r="E44" s="2323"/>
      <c r="F44" s="2323"/>
      <c r="G44" s="2323"/>
      <c r="H44" s="2323"/>
      <c r="I44" s="2320" t="str">
        <f>S43&amp;".1"</f>
        <v>...1</v>
      </c>
      <c r="J44" s="1427"/>
      <c r="K44" s="1427"/>
      <c r="L44" s="1428"/>
      <c r="P44" s="2321">
        <v>1</v>
      </c>
      <c r="Q44" s="1514"/>
      <c r="R44" s="420"/>
      <c r="S44" s="1521" t="str">
        <f>$I44</f>
        <v>...1</v>
      </c>
      <c r="T44" s="349" t="s">
        <v>484</v>
      </c>
      <c r="U44" s="364"/>
      <c r="V44" s="2414"/>
      <c r="W44" s="2415"/>
      <c r="X44" s="2415"/>
      <c r="Y44" s="2415"/>
      <c r="Z44" s="2415"/>
      <c r="AA44" s="2415"/>
      <c r="AB44" s="2416"/>
      <c r="AC44" s="2417"/>
      <c r="AD44" s="2418"/>
      <c r="AE44" s="2418"/>
      <c r="AF44" s="2418"/>
      <c r="AG44" s="2418"/>
      <c r="AH44" s="2418"/>
      <c r="AI44" s="2418"/>
      <c r="AJ44" s="2419"/>
      <c r="AK44" s="1322" t="s">
        <v>485</v>
      </c>
      <c r="AM44" s="564"/>
      <c r="AN44" s="564" t="str">
        <f>IF(T44="","",T44)</f>
        <v>Наименование признака дифференциации</v>
      </c>
      <c r="AO44" s="564"/>
      <c r="AP44" s="564"/>
      <c r="AQ44" s="1219">
        <v>23</v>
      </c>
    </row>
    <row customHeight="1" ht="24">
      <c r="A45" s="1427" t="s">
        <v>240</v>
      </c>
      <c r="B45" s="1427" t="s">
        <v>241</v>
      </c>
      <c r="C45" s="1427" t="s">
        <v>242</v>
      </c>
      <c r="D45" s="1427" t="s">
        <v>499</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486</v>
      </c>
      <c r="AM45" s="564"/>
      <c r="AN45" s="564" t="str">
        <f>IF(T45="","",T45)</f>
        <v>Группа потребителей</v>
      </c>
      <c r="AO45" s="564"/>
      <c r="AP45" s="564"/>
      <c r="AQ45" s="1219">
        <v>23</v>
      </c>
    </row>
    <row customHeight="1" ht="24">
      <c r="A46" s="1427" t="s">
        <v>240</v>
      </c>
      <c r="B46" s="1427" t="s">
        <v>241</v>
      </c>
      <c r="C46" s="1427" t="s">
        <v>242</v>
      </c>
      <c r="D46" s="1427" t="s">
        <v>499</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62</v>
      </c>
      <c r="AA46" s="2329"/>
      <c r="AB46" s="2171" t="s">
        <v>62</v>
      </c>
      <c r="AC46" s="815"/>
      <c r="AD46" s="815"/>
      <c r="AE46" s="1321"/>
      <c r="AF46" s="2329"/>
      <c r="AG46" s="2171" t="s">
        <v>62</v>
      </c>
      <c r="AH46" s="2351"/>
      <c r="AI46" s="2171" t="s">
        <v>62</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240</v>
      </c>
      <c r="B47" s="1427" t="s">
        <v>241</v>
      </c>
      <c r="C47" s="1427" t="s">
        <v>242</v>
      </c>
      <c r="D47" s="1427" t="s">
        <v>499</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240</v>
      </c>
      <c r="B48" s="1427" t="s">
        <v>241</v>
      </c>
      <c r="C48" s="1427" t="s">
        <v>242</v>
      </c>
      <c r="D48" s="1427" t="s">
        <v>499</v>
      </c>
      <c r="E48" s="2323"/>
      <c r="F48" s="2323"/>
      <c r="G48" s="2323"/>
      <c r="H48" s="2323"/>
      <c r="I48" s="2350"/>
      <c r="J48" s="2320"/>
      <c r="K48" s="1427"/>
      <c r="L48" s="1428"/>
      <c r="P48" s="2321"/>
      <c r="Q48" s="2321"/>
      <c r="R48" s="420"/>
      <c r="S48" s="1342"/>
      <c r="T48" s="351" t="s">
        <v>487</v>
      </c>
      <c r="U48" s="431"/>
      <c r="V48" s="431"/>
      <c r="W48" s="431"/>
      <c r="X48" s="431"/>
      <c r="Y48" s="431"/>
      <c r="Z48" s="431"/>
      <c r="AA48" s="431"/>
      <c r="AB48" s="431"/>
      <c r="AC48" s="431"/>
      <c r="AD48" s="431"/>
      <c r="AE48" s="431"/>
      <c r="AF48" s="431"/>
      <c r="AG48" s="431"/>
      <c r="AH48" s="431"/>
      <c r="AI48" s="431"/>
      <c r="AJ48" s="431"/>
      <c r="AK48" s="1322" t="s">
        <v>488</v>
      </c>
      <c r="AM48" s="564"/>
      <c r="AN48" s="564" t="str">
        <f>IF(T48="","",T48)</f>
        <v>Добавить значение признака дифференциации</v>
      </c>
      <c r="AO48" s="564"/>
      <c r="AP48" s="564"/>
      <c r="AQ48" s="1219">
        <v>20</v>
      </c>
    </row>
    <row customHeight="1" ht="22.049999999999997">
      <c r="A49" s="1427" t="s">
        <v>240</v>
      </c>
      <c r="B49" s="1427" t="s">
        <v>241</v>
      </c>
      <c r="C49" s="1427" t="s">
        <v>242</v>
      </c>
      <c r="D49" s="1427" t="s">
        <v>499</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240</v>
      </c>
      <c r="B50" s="1427" t="s">
        <v>241</v>
      </c>
      <c r="C50" s="1427" t="s">
        <v>242</v>
      </c>
      <c r="D50" s="1427" t="s">
        <v>499</v>
      </c>
      <c r="E50" s="2323"/>
      <c r="F50" s="2323"/>
      <c r="G50" s="2323"/>
      <c r="H50" s="2322"/>
      <c r="I50" s="1427"/>
      <c r="J50" s="1427"/>
      <c r="K50" s="1427"/>
      <c r="L50" s="1428"/>
      <c r="M50" s="1429"/>
      <c r="N50" s="1429"/>
      <c r="O50" s="601"/>
      <c r="P50" s="424"/>
      <c r="Q50" s="439"/>
      <c r="R50" s="419"/>
      <c r="S50" s="1342"/>
      <c r="T50" s="436" t="s">
        <v>489</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976" customFormat="1" customHeight="1" ht="0">
      <c r="A51" s="1407" t="s">
        <v>240</v>
      </c>
      <c r="B51" s="1407" t="s">
        <v>241</v>
      </c>
      <c r="C51" s="1378"/>
      <c r="D51" s="1378"/>
      <c r="E51" s="2323"/>
      <c r="F51" s="2322"/>
      <c r="G51" s="1378"/>
      <c r="H51" s="1378"/>
      <c r="I51" s="1378"/>
      <c r="J51" s="1378"/>
      <c r="K51" s="1378"/>
      <c r="L51" s="1522"/>
      <c r="M51" s="1385"/>
      <c r="N51" s="1385"/>
      <c r="P51" s="1380"/>
      <c r="Q51" s="1381"/>
      <c r="R51" s="1380"/>
      <c r="S51" s="1386"/>
      <c r="T51" s="1389" t="s">
        <v>255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976" customFormat="1" customHeight="1" ht="0">
      <c r="A52" s="1407" t="s">
        <v>240</v>
      </c>
      <c r="B52" s="1407"/>
      <c r="C52" s="1407"/>
      <c r="D52" s="1407"/>
      <c r="E52" s="2322"/>
      <c r="F52" s="1407"/>
      <c r="G52" s="1407"/>
      <c r="H52" s="1407"/>
      <c r="I52" s="1407"/>
      <c r="J52" s="1407"/>
      <c r="K52" s="1407"/>
      <c r="L52" s="1410"/>
      <c r="M52" s="1385"/>
      <c r="N52" s="1385"/>
      <c r="O52" s="582"/>
      <c r="P52" s="444"/>
      <c r="Q52" s="1408"/>
      <c r="R52" s="444"/>
      <c r="S52" s="1386"/>
      <c r="T52" s="1389" t="s">
        <v>256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976"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257</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83</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311EC-E9CD-420C-451F-0.07163F5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468" width="10.140625" hidden="1" customWidth="1"/>
    <col min="4" max="4" style="5468" width="11.8515625" hidden="1" customWidth="1"/>
    <col min="5" max="11" style="5468" width="10.140625" hidden="1" customWidth="1"/>
    <col min="12" max="12" style="6132" width="10.140625" hidden="1" customWidth="1"/>
    <col min="13" max="15" style="6151" width="10.140625" hidden="1" customWidth="1"/>
    <col min="16" max="16" style="4339" width="3.00390625" customWidth="1"/>
    <col min="17" max="17" style="3609" width="3.00390625" customWidth="1"/>
    <col min="18" max="18" style="5437" width="3.00390625" customWidth="1"/>
    <col min="19" max="19" style="6125" width="12.00390625" customWidth="1"/>
    <col min="20" max="20" style="5468" width="31.00390625" customWidth="1"/>
    <col min="21" max="21" style="5468" width="0.140625" customWidth="1"/>
    <col min="22" max="23" style="5468" width="21.7109375" hidden="1" customWidth="1"/>
    <col min="24" max="24" style="5468" width="11.7109375" hidden="1" customWidth="1"/>
    <col min="25" max="25" style="5468" width="3.7109375" hidden="1" customWidth="1"/>
    <col min="26" max="26" style="5468" width="11.7109375" hidden="1" customWidth="1"/>
    <col min="27" max="27" style="5468" width="8.57421875" hidden="1" customWidth="1"/>
    <col min="28" max="28" style="5468" width="27.00390625" customWidth="1"/>
    <col min="29" max="29" style="5468" width="24.57421875" customWidth="1"/>
    <col min="30" max="31" style="5468" width="21.00390625" customWidth="1"/>
    <col min="32" max="32" style="5468" width="11.00390625" customWidth="1"/>
    <col min="33" max="33" style="5468" width="3.7109375" customWidth="1"/>
    <col min="34" max="34" style="5468" width="11.00390625" customWidth="1"/>
    <col min="35" max="35" style="5468" width="8.57421875" hidden="1" customWidth="1"/>
    <col min="36" max="36" style="5468" width="4.00390625" customWidth="1"/>
    <col min="37" max="37" style="5468" width="115.00390625" customWidth="1"/>
    <col min="38" max="42" style="4976" width="10.00390625" customWidth="1"/>
    <col min="43" max="43" style="546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124</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400</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401</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402</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403</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404</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405</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406</v>
      </c>
      <c r="AM5" s="1688"/>
      <c r="AN5" s="1688" t="str">
        <f>IF(T5="","",T5)</f>
        <v>Источник тепловой энергии  </v>
      </c>
      <c r="AO5" s="1688"/>
      <c r="AP5" s="1688"/>
      <c r="AQ5" s="1695">
        <v>0</v>
      </c>
    </row>
    <row s="4976" customFormat="1" customHeight="1" ht="0.75" hidden="1">
      <c r="A6" s="1439"/>
      <c r="B6" s="1439"/>
      <c r="C6" s="1439"/>
      <c r="D6" s="1439"/>
      <c r="E6" s="2354"/>
      <c r="F6" s="2354"/>
      <c r="G6" s="2354"/>
      <c r="H6" s="2354"/>
      <c r="I6" s="2191">
        <f>S5&amp;".1"</f>
      </c>
      <c r="J6" s="1439"/>
      <c r="K6" s="1439"/>
      <c r="L6" s="1445" t="s">
        <v>407</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976"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62</v>
      </c>
      <c r="Z8" s="2056"/>
      <c r="AA8" s="2054" t="s">
        <v>62</v>
      </c>
      <c r="AB8" s="2060"/>
      <c r="AC8" s="2061" t="s">
        <v>28</v>
      </c>
      <c r="AD8" s="815"/>
      <c r="AE8" s="1321"/>
      <c r="AF8" s="2019"/>
      <c r="AG8" s="2006" t="s">
        <v>62</v>
      </c>
      <c r="AH8" s="2019"/>
      <c r="AI8" s="2006" t="s">
        <v>62</v>
      </c>
      <c r="AJ8" s="1412"/>
      <c r="AK8" s="2317" t="s">
        <v>465</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469</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976"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976"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976"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418</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976"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255</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976"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256</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62</v>
      </c>
      <c r="AH16" s="1800"/>
      <c r="AI16" s="2030" t="s">
        <v>62</v>
      </c>
      <c r="AQ16" s="1695">
        <v>0</v>
      </c>
    </row>
    <row customHeight="1" ht="14.25" hidden="1">
      <c r="AL17" s="1705"/>
      <c r="AM17" s="1705"/>
      <c r="AN17" s="1705"/>
      <c r="AO17" s="1705"/>
      <c r="AP17" s="1705"/>
      <c r="AQ17" s="1695">
        <v>0</v>
      </c>
    </row>
    <row customHeight="1" ht="14.25" hidden="1">
      <c r="O18" s="1409" t="s">
        <v>419</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842" customFormat="1" customHeight="1" ht="14.25" hidden="1">
      <c r="A20" s="2035"/>
      <c r="B20" s="2035"/>
      <c r="C20" s="2035"/>
      <c r="D20" s="2035"/>
      <c r="E20" s="2035"/>
      <c r="F20" s="2035"/>
      <c r="G20" s="2035"/>
      <c r="H20" s="2035"/>
      <c r="I20" s="2035"/>
      <c r="J20" s="2035"/>
      <c r="K20" s="2035"/>
      <c r="L20" s="2035"/>
      <c r="M20" s="2036"/>
      <c r="N20" s="2036"/>
      <c r="O20" s="2037" t="s">
        <v>420</v>
      </c>
      <c r="P20" s="1572"/>
      <c r="Q20" s="1574"/>
      <c r="R20" s="1574"/>
      <c r="Y20" s="1571" t="s">
        <v>422</v>
      </c>
      <c r="AA20" s="1571" t="s">
        <v>423</v>
      </c>
      <c r="AC20" s="1571" t="s">
        <v>471</v>
      </c>
      <c r="AG20" s="1571" t="s">
        <v>422</v>
      </c>
      <c r="AI20" s="1571" t="s">
        <v>423</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601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УГРЦТ НАО</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601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425</v>
      </c>
      <c r="T28" s="2314"/>
      <c r="U28" s="1436"/>
      <c r="V28" s="2328" t="str">
        <f>IF(TITLE_DATE_PR_CHANGE="",IF(TITLE_DATE_PR="","",TITLE_DATE_PR),TITLE_DATE_PR_CHANGE)</f>
        <v>46008.48059027778</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601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426</v>
      </c>
      <c r="T29" s="2314"/>
      <c r="U29" s="1436"/>
      <c r="V29" s="2315" t="str">
        <f>IF(TITLE_NUMBER_PR_CHANGE="",IF(TITLE_NUMBER_PR="","",TITLE_NUMBER_PR),TITLE_NUMBER_PR_CHANGE)</f>
        <v>58</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601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44</v>
      </c>
      <c r="T30" s="2314"/>
      <c r="U30" s="1436"/>
      <c r="V30" s="2315" t="str">
        <f>IF(TITLE_IST_PUB_CHANGE="",IF(TITLE_IST_PUB="","",TITLE_IST_PUB),TITLE_IST_PUB_CHANGE)</f>
        <v>http://pravo.gov.ru</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601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425</v>
      </c>
      <c r="T32" s="2314"/>
      <c r="U32" s="1436"/>
      <c r="V32" s="2328" t="str">
        <f>IF(TITLE_DATE_PR_CHANGE="",IF(TITLE_DATE_PR="","",TITLE_DATE_PR),TITLE_DATE_PR_CHANGE)</f>
        <v>46008.48059027778</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601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426</v>
      </c>
      <c r="T33" s="2314"/>
      <c r="U33" s="1436"/>
      <c r="V33" s="2315" t="str">
        <f>IF(TITLE_NUMBER_PR_CHANGE="",IF(TITLE_NUMBER_PR="","",TITLE_NUMBER_PR),TITLE_NUMBER_PR_CHANGE)</f>
        <v>58</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601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429</v>
      </c>
      <c r="AB34" s="1706"/>
      <c r="AC34" s="1699"/>
      <c r="AD34" s="1699"/>
      <c r="AE34" s="1699"/>
      <c r="AF34" s="1699"/>
      <c r="AG34" s="1699"/>
      <c r="AH34" s="1699"/>
      <c r="AI34" s="1706" t="s">
        <v>429</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304</v>
      </c>
      <c r="T36" s="2191"/>
      <c r="U36" s="2191"/>
      <c r="V36" s="2191"/>
      <c r="W36" s="2191"/>
      <c r="X36" s="2191"/>
      <c r="Y36" s="2191"/>
      <c r="Z36" s="2191"/>
      <c r="AA36" s="2239"/>
      <c r="AB36" s="2239"/>
      <c r="AC36" s="2239"/>
      <c r="AD36" s="2191"/>
      <c r="AE36" s="2191"/>
      <c r="AF36" s="2191"/>
      <c r="AG36" s="2191"/>
      <c r="AH36" s="2191"/>
      <c r="AI36" s="2191"/>
      <c r="AJ36" s="2191"/>
      <c r="AK36" s="2191" t="s">
        <v>305</v>
      </c>
      <c r="AQ36" s="1695">
        <v>14</v>
      </c>
    </row>
    <row customHeight="1" ht="14.699999999999998">
      <c r="Q37" s="355"/>
      <c r="R37" s="440"/>
      <c r="S37" s="2337" t="s">
        <v>89</v>
      </c>
      <c r="T37" s="2273" t="s">
        <v>500</v>
      </c>
      <c r="U37" s="401"/>
      <c r="V37" s="2339"/>
      <c r="W37" s="2339"/>
      <c r="X37" s="2339"/>
      <c r="Y37" s="2339"/>
      <c r="Z37" s="2339"/>
      <c r="AA37" s="2273" t="s">
        <v>432</v>
      </c>
      <c r="AB37" s="2272" t="s">
        <v>501</v>
      </c>
      <c r="AC37" s="2272" t="s">
        <v>475</v>
      </c>
      <c r="AD37" s="2355" t="s">
        <v>431</v>
      </c>
      <c r="AE37" s="2355"/>
      <c r="AF37" s="2339"/>
      <c r="AG37" s="2339"/>
      <c r="AH37" s="2340"/>
      <c r="AI37" s="2341" t="s">
        <v>432</v>
      </c>
      <c r="AJ37" s="2344" t="s">
        <v>434</v>
      </c>
      <c r="AK37" s="2191"/>
      <c r="AQ37" s="1695">
        <v>14</v>
      </c>
    </row>
    <row customHeight="1" ht="35.699999999999996">
      <c r="Q38" s="355"/>
      <c r="R38" s="440"/>
      <c r="S38" s="2337"/>
      <c r="T38" s="2273"/>
      <c r="U38" s="1095"/>
      <c r="V38" s="2167" t="s">
        <v>478</v>
      </c>
      <c r="W38" s="2191"/>
      <c r="X38" s="2358" t="s">
        <v>438</v>
      </c>
      <c r="Y38" s="2377"/>
      <c r="Z38" s="2377"/>
      <c r="AA38" s="2273"/>
      <c r="AB38" s="2272"/>
      <c r="AC38" s="2272"/>
      <c r="AD38" s="2167" t="s">
        <v>478</v>
      </c>
      <c r="AE38" s="2191"/>
      <c r="AF38" s="2377" t="s">
        <v>438</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136</v>
      </c>
      <c r="C40" s="1330" t="s">
        <v>137</v>
      </c>
      <c r="D40" s="1330" t="s">
        <v>138</v>
      </c>
      <c r="E40" s="1374" t="s">
        <v>439</v>
      </c>
      <c r="F40" s="1374" t="s">
        <v>440</v>
      </c>
      <c r="G40" s="1374" t="s">
        <v>441</v>
      </c>
      <c r="H40" s="1374" t="s">
        <v>442</v>
      </c>
      <c r="I40" s="1374" t="s">
        <v>443</v>
      </c>
      <c r="J40" s="1374" t="s">
        <v>444</v>
      </c>
      <c r="K40" s="1374" t="s">
        <v>445</v>
      </c>
      <c r="L40" s="1374" t="s">
        <v>420</v>
      </c>
      <c r="Q40" s="355"/>
      <c r="R40" s="440"/>
      <c r="S40" s="2337"/>
      <c r="T40" s="2273"/>
      <c r="U40" s="366"/>
      <c r="V40" s="2014" t="s">
        <v>479</v>
      </c>
      <c r="W40" s="2014" t="s">
        <v>480</v>
      </c>
      <c r="X40" s="2002" t="s">
        <v>448</v>
      </c>
      <c r="Y40" s="2334" t="s">
        <v>449</v>
      </c>
      <c r="Z40" s="2384"/>
      <c r="AA40" s="2273"/>
      <c r="AB40" s="2272"/>
      <c r="AC40" s="2272"/>
      <c r="AD40" s="2032" t="s">
        <v>479</v>
      </c>
      <c r="AE40" s="2023" t="s">
        <v>480</v>
      </c>
      <c r="AF40" s="2002" t="s">
        <v>448</v>
      </c>
      <c r="AG40" s="2334" t="s">
        <v>449</v>
      </c>
      <c r="AH40" s="2335"/>
      <c r="AI40" s="2343"/>
      <c r="AJ40" s="2346"/>
      <c r="AK40" s="2191"/>
      <c r="AQ40" s="1695">
        <v>14</v>
      </c>
    </row>
    <row s="3710"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110</v>
      </c>
      <c r="T41" s="1319" t="s">
        <v>111</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205</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124</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8"/>
      <c r="AN42" s="1688" t="str">
        <f>IF(T42="","",T42)</f>
        <v>Наименование тарифа</v>
      </c>
      <c r="AO42" s="1688"/>
      <c r="AP42" s="1688"/>
      <c r="AQ42" s="1695">
        <v>102</v>
      </c>
    </row>
    <row customHeight="1" ht="22.049999999999997">
      <c r="A43" s="1331" t="s">
        <v>205</v>
      </c>
      <c r="B43" s="1331" t="s">
        <v>206</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401</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402</v>
      </c>
      <c r="AM43" s="1688"/>
      <c r="AN43" s="1688" t="str">
        <f>IF(T43="","",T43)</f>
        <v>Территория действия тарифа</v>
      </c>
      <c r="AO43" s="1688"/>
      <c r="AP43" s="1688"/>
      <c r="AQ43" s="1695">
        <v>21</v>
      </c>
    </row>
    <row customHeight="1" ht="24">
      <c r="A44" s="1331" t="s">
        <v>205</v>
      </c>
      <c r="B44" s="1331" t="s">
        <v>206</v>
      </c>
      <c r="C44" s="1331" t="s">
        <v>207</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403</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404</v>
      </c>
      <c r="AM44" s="1688"/>
      <c r="AN44" s="1688" t="str">
        <f>IF(T44="","",T44)</f>
        <v>Наименование системы теплоснабжения </v>
      </c>
      <c r="AO44" s="1688"/>
      <c r="AP44" s="1688"/>
      <c r="AQ44" s="1695">
        <v>23</v>
      </c>
    </row>
    <row customHeight="1" ht="22.049999999999997">
      <c r="A45" s="1331" t="s">
        <v>205</v>
      </c>
      <c r="B45" s="1331" t="s">
        <v>206</v>
      </c>
      <c r="C45" s="1331" t="s">
        <v>207</v>
      </c>
      <c r="D45" s="1331" t="s">
        <v>208</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405</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406</v>
      </c>
      <c r="AM45" s="1688"/>
      <c r="AN45" s="1688" t="str">
        <f>IF(T45="","",T45)</f>
        <v>Источник тепловой энергии  </v>
      </c>
      <c r="AO45" s="1688"/>
      <c r="AP45" s="1688"/>
      <c r="AQ45" s="1695">
        <v>21</v>
      </c>
    </row>
    <row s="4976" customFormat="1" customHeight="1" ht="0">
      <c r="A46" s="1439" t="s">
        <v>205</v>
      </c>
      <c r="B46" s="1439" t="s">
        <v>206</v>
      </c>
      <c r="C46" s="1439" t="s">
        <v>207</v>
      </c>
      <c r="D46" s="1439" t="s">
        <v>208</v>
      </c>
      <c r="E46" s="2354"/>
      <c r="F46" s="2354"/>
      <c r="G46" s="2354"/>
      <c r="H46" s="2354"/>
      <c r="I46" s="2191" t="str">
        <f>S45&amp;".1"</f>
        <v>....1</v>
      </c>
      <c r="J46" s="1439"/>
      <c r="K46" s="1439"/>
      <c r="L46" s="1445" t="s">
        <v>407</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976" customFormat="1" customHeight="1" ht="0">
      <c r="A47" s="1439" t="s">
        <v>205</v>
      </c>
      <c r="B47" s="1439" t="s">
        <v>206</v>
      </c>
      <c r="C47" s="1439" t="s">
        <v>207</v>
      </c>
      <c r="D47" s="1439" t="s">
        <v>208</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205</v>
      </c>
      <c r="B48" s="1331" t="s">
        <v>206</v>
      </c>
      <c r="C48" s="1331" t="s">
        <v>207</v>
      </c>
      <c r="D48" s="1331" t="s">
        <v>208</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62</v>
      </c>
      <c r="Z48" s="2019"/>
      <c r="AA48" s="2006" t="s">
        <v>62</v>
      </c>
      <c r="AB48" s="2028"/>
      <c r="AC48" s="2027" t="s">
        <v>28</v>
      </c>
      <c r="AD48" s="815"/>
      <c r="AE48" s="1321"/>
      <c r="AF48" s="2019"/>
      <c r="AG48" s="2006" t="s">
        <v>62</v>
      </c>
      <c r="AH48" s="2019"/>
      <c r="AI48" s="2006" t="s">
        <v>62</v>
      </c>
      <c r="AJ48" s="1412"/>
      <c r="AK48" s="2317" t="s">
        <v>481</v>
      </c>
      <c r="AL48" s="1700">
        <f>STRCHECKDATE(#REF!)</f>
      </c>
      <c r="AM48" s="1688"/>
      <c r="AN48" s="1688" t="str">
        <f>IF(T48="","",T48)</f>
        <v/>
      </c>
      <c r="AO48" s="1688"/>
      <c r="AP48" s="1688"/>
      <c r="AQ48" s="1695">
        <v>21</v>
      </c>
    </row>
    <row customHeight="1" ht="11.549999999999999">
      <c r="A49" s="1331" t="s">
        <v>205</v>
      </c>
      <c r="B49" s="1331" t="s">
        <v>206</v>
      </c>
      <c r="C49" s="1331" t="s">
        <v>207</v>
      </c>
      <c r="D49" s="1331" t="s">
        <v>208</v>
      </c>
      <c r="E49" s="2354"/>
      <c r="F49" s="2354"/>
      <c r="G49" s="2354"/>
      <c r="H49" s="2354"/>
      <c r="I49" s="2165"/>
      <c r="J49" s="2191"/>
      <c r="K49" s="1331"/>
      <c r="L49" s="1374"/>
      <c r="P49" s="2321"/>
      <c r="Q49" s="2321"/>
      <c r="R49" s="420"/>
      <c r="S49" s="1342"/>
      <c r="T49" s="351" t="s">
        <v>469</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976" customFormat="1" customHeight="1" ht="1.05">
      <c r="A50" s="1439" t="s">
        <v>205</v>
      </c>
      <c r="B50" s="1439" t="s">
        <v>206</v>
      </c>
      <c r="C50" s="1439" t="s">
        <v>207</v>
      </c>
      <c r="D50" s="1439" t="s">
        <v>208</v>
      </c>
      <c r="E50" s="2354"/>
      <c r="F50" s="2354"/>
      <c r="G50" s="2354"/>
      <c r="H50" s="2354"/>
      <c r="I50" s="2191"/>
      <c r="J50" s="1439"/>
      <c r="K50" s="1439"/>
      <c r="L50" s="1445"/>
      <c r="M50" s="1310"/>
      <c r="N50" s="1310"/>
      <c r="O50" s="1310"/>
      <c r="P50" s="2321"/>
      <c r="Q50" s="2018"/>
      <c r="R50" s="420"/>
      <c r="S50" s="1450"/>
      <c r="T50" s="1451" t="s">
        <v>416</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710" customFormat="1" customHeight="1" ht="1.05">
      <c r="A51" s="1439" t="s">
        <v>205</v>
      </c>
      <c r="B51" s="1439" t="s">
        <v>206</v>
      </c>
      <c r="C51" s="1439" t="s">
        <v>207</v>
      </c>
      <c r="D51" s="1439" t="s">
        <v>208</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976" customFormat="1" customHeight="1" ht="1.05">
      <c r="A52" s="1439" t="s">
        <v>205</v>
      </c>
      <c r="B52" s="1439" t="s">
        <v>206</v>
      </c>
      <c r="C52" s="1439" t="s">
        <v>207</v>
      </c>
      <c r="D52" s="1438"/>
      <c r="E52" s="2354"/>
      <c r="F52" s="2354"/>
      <c r="G52" s="2353"/>
      <c r="H52" s="1438"/>
      <c r="I52" s="1438"/>
      <c r="J52" s="1438"/>
      <c r="K52" s="1438"/>
      <c r="L52" s="1441"/>
      <c r="M52" s="1442"/>
      <c r="N52" s="1442"/>
      <c r="O52" s="415"/>
      <c r="P52" s="1380"/>
      <c r="Q52" s="1381"/>
      <c r="R52" s="1380"/>
      <c r="S52" s="1386"/>
      <c r="T52" s="1389" t="s">
        <v>418</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976" customFormat="1" customHeight="1" ht="1.05">
      <c r="A53" s="1439" t="s">
        <v>205</v>
      </c>
      <c r="B53" s="1439" t="s">
        <v>206</v>
      </c>
      <c r="C53" s="1438"/>
      <c r="D53" s="1438"/>
      <c r="E53" s="2354"/>
      <c r="F53" s="2353"/>
      <c r="G53" s="1438"/>
      <c r="H53" s="1438"/>
      <c r="I53" s="1438"/>
      <c r="J53" s="1438"/>
      <c r="K53" s="1438"/>
      <c r="L53" s="1441"/>
      <c r="M53" s="1443"/>
      <c r="N53" s="1443"/>
      <c r="O53" s="415"/>
      <c r="P53" s="1380"/>
      <c r="Q53" s="1381"/>
      <c r="R53" s="1380"/>
      <c r="S53" s="1386"/>
      <c r="T53" s="1389" t="s">
        <v>255</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976" customFormat="1" customHeight="1" ht="1.05">
      <c r="A54" s="1439" t="s">
        <v>205</v>
      </c>
      <c r="B54" s="1439"/>
      <c r="C54" s="1439"/>
      <c r="D54" s="1439"/>
      <c r="E54" s="2354"/>
      <c r="F54" s="1439"/>
      <c r="G54" s="1439"/>
      <c r="H54" s="1439"/>
      <c r="I54" s="1439"/>
      <c r="J54" s="1439"/>
      <c r="K54" s="1439"/>
      <c r="L54" s="1445"/>
      <c r="M54" s="1443"/>
      <c r="N54" s="1443"/>
      <c r="O54" s="415"/>
      <c r="P54" s="444"/>
      <c r="Q54" s="1408"/>
      <c r="R54" s="444"/>
      <c r="S54" s="1386"/>
      <c r="T54" s="1389" t="s">
        <v>256</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976" customFormat="1" customHeight="1" ht="1.05">
      <c r="A55" s="1439" t="s">
        <v>205</v>
      </c>
      <c r="B55" s="1439"/>
      <c r="C55" s="1439"/>
      <c r="D55" s="1439"/>
      <c r="E55" s="2353"/>
      <c r="F55" s="1439"/>
      <c r="G55" s="1439"/>
      <c r="H55" s="1439"/>
      <c r="I55" s="1439"/>
      <c r="J55" s="1439"/>
      <c r="K55" s="1439"/>
      <c r="L55" s="1445"/>
      <c r="M55" s="1443"/>
      <c r="N55" s="1443"/>
      <c r="O55" s="415"/>
      <c r="P55" s="444"/>
      <c r="Q55" s="1408"/>
      <c r="R55" s="444"/>
      <c r="S55" s="1386"/>
      <c r="T55" s="1389" t="s">
        <v>256</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976"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257</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83</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DFB01-80C1-AD15-562C-0.D48B69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16" width="11.57421875" hidden="1" customWidth="1"/>
    <col min="2" max="2" style="5416" width="11.00390625" hidden="1" customWidth="1"/>
    <col min="3" max="3" style="5416" width="10.57421875" hidden="1"/>
    <col min="4" max="4" style="5416" width="12.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4339" width="3.7109375" hidden="1" customWidth="1"/>
    <col min="17" max="17" style="3609" width="3.7109375" hidden="1" customWidth="1"/>
    <col min="18" max="18" style="5437" width="3.00390625" customWidth="1"/>
    <col min="19" max="19" style="6125" width="12.00390625" customWidth="1"/>
    <col min="20" max="20" style="5468" width="31.00390625" customWidth="1"/>
    <col min="21" max="21" style="5468" width="0.140625" customWidth="1"/>
    <col min="22" max="25" style="5468" width="21.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3.7109375" customWidth="1"/>
    <col min="31" max="32" style="5468" width="3.00390625" customWidth="1"/>
    <col min="33" max="33" style="5468" width="24.00390625" customWidth="1"/>
    <col min="34" max="34" style="5468" width="3.7109375" customWidth="1"/>
    <col min="35" max="36" style="5468" width="3.00390625" customWidth="1"/>
    <col min="37" max="37" style="5468" width="24.00390625" customWidth="1"/>
    <col min="38" max="38" style="5468" width="3.7109375" customWidth="1"/>
    <col min="39" max="40" style="5468" width="3.00390625" customWidth="1"/>
    <col min="41" max="41" style="5468" width="18.00390625" customWidth="1"/>
    <col min="42" max="42" style="5468" width="3.7109375" customWidth="1"/>
    <col min="43" max="44" style="5468" width="3.00390625" customWidth="1"/>
    <col min="45" max="45" style="5468" width="18.00390625" customWidth="1"/>
    <col min="46" max="49" style="5468" width="21.00390625" customWidth="1"/>
    <col min="50" max="50" style="5468" width="11.00390625" customWidth="1"/>
    <col min="51" max="51" style="5468" width="3.7109375" customWidth="1"/>
    <col min="52" max="52" style="5468" width="11.00390625" customWidth="1"/>
    <col min="53" max="53" style="5468" width="8.57421875" hidden="1" customWidth="1"/>
    <col min="54" max="54" style="5468" width="4.00390625" customWidth="1"/>
    <col min="55" max="55" style="5468" width="115.00390625" customWidth="1"/>
    <col min="56" max="60" style="4976" width="10.00390625" customWidth="1"/>
    <col min="61" max="61" style="546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124</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482</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483</v>
      </c>
      <c r="BE4" s="564"/>
      <c r="BF4" s="564" t="str">
        <f>IF(T4="","",T4)</f>
        <v>Наименование централизованной системы холодного водоснабжения</v>
      </c>
      <c r="BG4" s="564"/>
      <c r="BH4" s="564"/>
      <c r="BI4" s="1219">
        <v>0</v>
      </c>
    </row>
    <row s="4976"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976" customFormat="1" customHeight="1" ht="14.25" hidden="1">
      <c r="A6" s="1407"/>
      <c r="B6" s="1407"/>
      <c r="C6" s="1407"/>
      <c r="D6" s="1407"/>
      <c r="E6" s="2323"/>
      <c r="F6" s="2323"/>
      <c r="G6" s="2323"/>
      <c r="H6" s="2323"/>
      <c r="I6" s="2320" t="str">
        <f>S5&amp;".1"</f>
        <v>.1</v>
      </c>
      <c r="J6" s="1407"/>
      <c r="K6" s="1407"/>
      <c r="L6" s="1410" t="s">
        <v>407</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976"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62</v>
      </c>
      <c r="AB8" s="1798"/>
      <c r="AC8" s="1523" t="s">
        <v>62</v>
      </c>
      <c r="AD8" s="2249" t="s">
        <v>62</v>
      </c>
      <c r="AE8" s="2390"/>
      <c r="AF8" s="2269">
        <v>1</v>
      </c>
      <c r="AG8" s="2427"/>
      <c r="AH8" s="2171" t="s">
        <v>62</v>
      </c>
      <c r="AI8" s="2390"/>
      <c r="AJ8" s="2269">
        <v>1</v>
      </c>
      <c r="AK8" s="2391" t="s">
        <v>28</v>
      </c>
      <c r="AL8" s="2171" t="s">
        <v>62</v>
      </c>
      <c r="AM8" s="2256"/>
      <c r="AN8" s="2269">
        <v>1</v>
      </c>
      <c r="AO8" s="2421"/>
      <c r="AP8" s="2422" t="s">
        <v>62</v>
      </c>
      <c r="AQ8" s="375"/>
      <c r="AR8" s="1527">
        <v>1</v>
      </c>
      <c r="AS8" s="1530" t="s">
        <v>28</v>
      </c>
      <c r="AT8" s="815"/>
      <c r="AU8" s="1321"/>
      <c r="AV8" s="815"/>
      <c r="AW8" s="1321"/>
      <c r="AX8" s="1798"/>
      <c r="AY8" s="1523" t="s">
        <v>62</v>
      </c>
      <c r="AZ8" s="1798"/>
      <c r="BA8" s="1523" t="s">
        <v>62</v>
      </c>
      <c r="BB8" s="1412"/>
      <c r="BC8" s="2317" t="s">
        <v>502</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503</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504</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505</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506</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469</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976"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976"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976"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976"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255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976"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256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62</v>
      </c>
      <c r="AZ20" s="1800"/>
      <c r="BA20" s="1524" t="s">
        <v>62</v>
      </c>
      <c r="BI20" s="1219">
        <v>0</v>
      </c>
    </row>
    <row customHeight="1" ht="14.25" hidden="1">
      <c r="BD21" s="560"/>
      <c r="BE21" s="560"/>
      <c r="BF21" s="560"/>
      <c r="BG21" s="560"/>
      <c r="BH21" s="560"/>
      <c r="BI21" s="1219">
        <v>0</v>
      </c>
    </row>
    <row customHeight="1" ht="14.25" hidden="1">
      <c r="O22" s="1431" t="s">
        <v>419</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842" customFormat="1" customHeight="1" ht="14.25" hidden="1">
      <c r="M24" s="1572"/>
      <c r="N24" s="1572"/>
      <c r="O24" s="1573" t="s">
        <v>420</v>
      </c>
      <c r="P24" s="1572"/>
      <c r="Q24" s="1574"/>
      <c r="R24" s="1574"/>
      <c r="AA24" s="1571" t="s">
        <v>422</v>
      </c>
      <c r="AC24" s="1571" t="s">
        <v>423</v>
      </c>
      <c r="AD24" s="1571" t="s">
        <v>470</v>
      </c>
      <c r="AH24" s="1571" t="s">
        <v>470</v>
      </c>
      <c r="AK24" s="1571" t="s">
        <v>507</v>
      </c>
      <c r="AL24" s="1571" t="s">
        <v>470</v>
      </c>
      <c r="AP24" s="1571" t="s">
        <v>470</v>
      </c>
      <c r="AY24" s="1571" t="s">
        <v>422</v>
      </c>
      <c r="BA24" s="1571" t="s">
        <v>423</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Нарьян-Марское МУ ПОКиТС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601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УГРЦТ НАО</v>
      </c>
      <c r="W31" s="2315"/>
      <c r="X31" s="2315"/>
      <c r="Y31" s="2315"/>
      <c r="Z31" s="2315"/>
      <c r="AA31" s="2315"/>
      <c r="AB31" s="2315"/>
      <c r="AC31" s="390"/>
      <c r="AD31" s="2315" t="str">
        <f>IF(TITLE_NAME_OR_PR_CHANGE="",IF(TITLE_NAME_OR_PR="","",TITLE_NAME_OR_PR),TITLE_NAME_OR_PR_CHANGE)</f>
        <v>УГРЦТ НАО</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6011" customFormat="1" customHeight="1" ht="18.75">
      <c r="A32" s="1432"/>
      <c r="B32" s="1432"/>
      <c r="C32" s="1432"/>
      <c r="D32" s="1432"/>
      <c r="E32" s="1432"/>
      <c r="F32" s="1432"/>
      <c r="G32" s="1432"/>
      <c r="H32" s="1432"/>
      <c r="I32" s="1432"/>
      <c r="J32" s="1432"/>
      <c r="K32" s="1432"/>
      <c r="L32" s="1433"/>
      <c r="M32" s="1432"/>
      <c r="N32" s="1432"/>
      <c r="O32" s="1432"/>
      <c r="P32" s="1432"/>
      <c r="Q32" s="1432"/>
      <c r="S32" s="2314" t="s">
        <v>425</v>
      </c>
      <c r="T32" s="2314"/>
      <c r="U32" s="1436"/>
      <c r="V32" s="2328" t="str">
        <f>IF(TITLE_DATE_PR_CHANGE="",IF(TITLE_DATE_PR="","",TITLE_DATE_PR),TITLE_DATE_PR_CHANGE)</f>
        <v>46008.48059027778</v>
      </c>
      <c r="W32" s="2328"/>
      <c r="X32" s="2328"/>
      <c r="Y32" s="2328"/>
      <c r="Z32" s="2328"/>
      <c r="AA32" s="2328"/>
      <c r="AB32" s="2328"/>
      <c r="AC32" s="390"/>
      <c r="AD32" s="2328" t="str">
        <f>IF(TITLE_DATE_PR_CHANGE="",IF(TITLE_DATE_PR="","",TITLE_DATE_PR),TITLE_DATE_PR_CHANGE)</f>
        <v>46008.48059027778</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6011" customFormat="1" customHeight="1" ht="18.75">
      <c r="A33" s="1432"/>
      <c r="B33" s="1432"/>
      <c r="C33" s="1432"/>
      <c r="D33" s="1432"/>
      <c r="E33" s="1432"/>
      <c r="F33" s="1432"/>
      <c r="G33" s="1432"/>
      <c r="H33" s="1432"/>
      <c r="I33" s="1432"/>
      <c r="J33" s="1432"/>
      <c r="K33" s="1432"/>
      <c r="L33" s="1433"/>
      <c r="M33" s="1432"/>
      <c r="N33" s="1432"/>
      <c r="O33" s="1432"/>
      <c r="P33" s="1432"/>
      <c r="Q33" s="1432"/>
      <c r="S33" s="2314" t="s">
        <v>426</v>
      </c>
      <c r="T33" s="2314"/>
      <c r="U33" s="1436"/>
      <c r="V33" s="2315" t="str">
        <f>IF(TITLE_NUMBER_PR_CHANGE="",IF(TITLE_NUMBER_PR="","",TITLE_NUMBER_PR),TITLE_NUMBER_PR_CHANGE)</f>
        <v>58</v>
      </c>
      <c r="W33" s="2315"/>
      <c r="X33" s="2315"/>
      <c r="Y33" s="2315"/>
      <c r="Z33" s="2315"/>
      <c r="AA33" s="2315"/>
      <c r="AB33" s="2315"/>
      <c r="AC33" s="390"/>
      <c r="AD33" s="2315" t="str">
        <f>IF(TITLE_NUMBER_PR_CHANGE="",IF(TITLE_NUMBER_PR="","",TITLE_NUMBER_PR),TITLE_NUMBER_PR_CHANGE)</f>
        <v>58</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601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http://pravo.gov.ru</v>
      </c>
      <c r="W34" s="2315"/>
      <c r="X34" s="2315"/>
      <c r="Y34" s="2315"/>
      <c r="Z34" s="2315"/>
      <c r="AA34" s="2315"/>
      <c r="AB34" s="2315"/>
      <c r="AC34" s="390"/>
      <c r="AD34" s="2315" t="str">
        <f>IF(TITLE_IST_PUB_CHANGE="",IF(TITLE_IST_PUB="","",TITLE_IST_PUB),TITLE_IST_PUB_CHANGE)</f>
        <v>http://pravo.gov.ru</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601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425</v>
      </c>
      <c r="T36" s="2314"/>
      <c r="U36" s="1436"/>
      <c r="V36" s="2328" t="str">
        <f>IF(TITLE_DATE_PR_CHANGE="",IF(TITLE_DATE_PR="","",TITLE_DATE_PR),TITLE_DATE_PR_CHANGE)</f>
        <v>46008.48059027778</v>
      </c>
      <c r="W36" s="2328"/>
      <c r="X36" s="2328"/>
      <c r="Y36" s="2328"/>
      <c r="Z36" s="2328"/>
      <c r="AA36" s="2328"/>
      <c r="AB36" s="2328"/>
      <c r="AC36" s="390"/>
      <c r="AD36" s="2328" t="str">
        <f>IF(TITLE_DATE_PR_CHANGE="",IF(TITLE_DATE_PR="","",TITLE_DATE_PR),TITLE_DATE_PR_CHANGE)</f>
        <v>46008.48059027778</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601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426</v>
      </c>
      <c r="T37" s="2314"/>
      <c r="U37" s="1436"/>
      <c r="V37" s="2315" t="str">
        <f>IF(TITLE_NUMBER_PR_CHANGE="",IF(TITLE_NUMBER_PR="","",TITLE_NUMBER_PR),TITLE_NUMBER_PR_CHANGE)</f>
        <v>58</v>
      </c>
      <c r="W37" s="2315"/>
      <c r="X37" s="2315"/>
      <c r="Y37" s="2315"/>
      <c r="Z37" s="2315"/>
      <c r="AA37" s="2315"/>
      <c r="AB37" s="2315"/>
      <c r="AC37" s="390"/>
      <c r="AD37" s="2315" t="str">
        <f>IF(TITLE_NUMBER_PR_CHANGE="",IF(TITLE_NUMBER_PR="","",TITLE_NUMBER_PR),TITLE_NUMBER_PR_CHANGE)</f>
        <v>58</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601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429</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429</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89</v>
      </c>
      <c r="T41" s="2273" t="s">
        <v>508</v>
      </c>
      <c r="U41" s="365"/>
      <c r="V41" s="2338" t="s">
        <v>431</v>
      </c>
      <c r="W41" s="2339"/>
      <c r="X41" s="2339"/>
      <c r="Y41" s="2339"/>
      <c r="Z41" s="2339"/>
      <c r="AA41" s="2339"/>
      <c r="AB41" s="2340"/>
      <c r="AC41" s="2341" t="s">
        <v>432</v>
      </c>
      <c r="AD41" s="2392" t="s">
        <v>509</v>
      </c>
      <c r="AE41" s="2355"/>
      <c r="AF41" s="2355"/>
      <c r="AG41" s="2393"/>
      <c r="AH41" s="2392" t="s">
        <v>510</v>
      </c>
      <c r="AI41" s="2355"/>
      <c r="AJ41" s="2355"/>
      <c r="AK41" s="2393"/>
      <c r="AL41" s="2392" t="s">
        <v>511</v>
      </c>
      <c r="AM41" s="2355"/>
      <c r="AN41" s="2355"/>
      <c r="AO41" s="2393"/>
      <c r="AP41" s="2392" t="s">
        <v>512</v>
      </c>
      <c r="AQ41" s="2355"/>
      <c r="AR41" s="2355"/>
      <c r="AS41" s="2393"/>
      <c r="AT41" s="2338" t="s">
        <v>431</v>
      </c>
      <c r="AU41" s="2339"/>
      <c r="AV41" s="2339"/>
      <c r="AW41" s="2339"/>
      <c r="AX41" s="2339"/>
      <c r="AY41" s="2339"/>
      <c r="AZ41" s="2340"/>
      <c r="BA41" s="2341" t="s">
        <v>432</v>
      </c>
      <c r="BB41" s="2344" t="s">
        <v>434</v>
      </c>
      <c r="BC41" s="2191"/>
      <c r="BI41" s="1219">
        <v>14</v>
      </c>
    </row>
    <row customHeight="1" ht="35.699999999999996">
      <c r="Q42" s="355"/>
      <c r="R42" s="440"/>
      <c r="S42" s="2337"/>
      <c r="T42" s="2273"/>
      <c r="U42" s="1095"/>
      <c r="V42" s="2256" t="s">
        <v>513</v>
      </c>
      <c r="W42" s="2257"/>
      <c r="X42" s="2256" t="s">
        <v>514</v>
      </c>
      <c r="Y42" s="2257"/>
      <c r="Z42" s="2358" t="s">
        <v>515</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513</v>
      </c>
      <c r="AU42" s="2257"/>
      <c r="AV42" s="2256" t="s">
        <v>514</v>
      </c>
      <c r="AW42" s="2257"/>
      <c r="AX42" s="2358" t="s">
        <v>515</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136</v>
      </c>
      <c r="C44" s="1434" t="s">
        <v>137</v>
      </c>
      <c r="D44" s="1434" t="s">
        <v>138</v>
      </c>
      <c r="E44" s="1428" t="s">
        <v>439</v>
      </c>
      <c r="F44" s="1428" t="s">
        <v>440</v>
      </c>
      <c r="G44" s="1428" t="s">
        <v>441</v>
      </c>
      <c r="H44" s="1428" t="s">
        <v>442</v>
      </c>
      <c r="I44" s="1428" t="s">
        <v>443</v>
      </c>
      <c r="J44" s="1428" t="s">
        <v>444</v>
      </c>
      <c r="K44" s="1428" t="s">
        <v>445</v>
      </c>
      <c r="L44" s="1428" t="s">
        <v>420</v>
      </c>
      <c r="Q44" s="355"/>
      <c r="R44" s="440"/>
      <c r="S44" s="2337"/>
      <c r="T44" s="2273"/>
      <c r="U44" s="366"/>
      <c r="V44" s="1512" t="s">
        <v>479</v>
      </c>
      <c r="W44" s="1512" t="s">
        <v>480</v>
      </c>
      <c r="X44" s="1512" t="s">
        <v>479</v>
      </c>
      <c r="Y44" s="1512" t="s">
        <v>480</v>
      </c>
      <c r="Z44" s="1519" t="s">
        <v>448</v>
      </c>
      <c r="AA44" s="2334" t="s">
        <v>449</v>
      </c>
      <c r="AB44" s="2335"/>
      <c r="AC44" s="2343"/>
      <c r="AD44" s="2397"/>
      <c r="AE44" s="2398"/>
      <c r="AF44" s="2398"/>
      <c r="AG44" s="2399"/>
      <c r="AH44" s="2397"/>
      <c r="AI44" s="2398"/>
      <c r="AJ44" s="2398"/>
      <c r="AK44" s="2399"/>
      <c r="AL44" s="2397"/>
      <c r="AM44" s="2398"/>
      <c r="AN44" s="2398"/>
      <c r="AO44" s="2399"/>
      <c r="AP44" s="2397"/>
      <c r="AQ44" s="2398"/>
      <c r="AR44" s="2398"/>
      <c r="AS44" s="2399"/>
      <c r="AT44" s="1512" t="s">
        <v>479</v>
      </c>
      <c r="AU44" s="1512" t="s">
        <v>480</v>
      </c>
      <c r="AV44" s="1512" t="s">
        <v>479</v>
      </c>
      <c r="AW44" s="1512" t="s">
        <v>480</v>
      </c>
      <c r="AX44" s="1519" t="s">
        <v>448</v>
      </c>
      <c r="AY44" s="2334" t="s">
        <v>449</v>
      </c>
      <c r="AZ44" s="2335"/>
      <c r="BA44" s="2343"/>
      <c r="BB44" s="2346"/>
      <c r="BC44" s="2191"/>
      <c r="BI44" s="1219">
        <v>14</v>
      </c>
    </row>
    <row s="3710"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245</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124</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245</v>
      </c>
      <c r="B47" s="1427" t="s">
        <v>246</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43.050000000000004">
      <c r="A48" s="1427" t="s">
        <v>245</v>
      </c>
      <c r="B48" s="1427" t="s">
        <v>246</v>
      </c>
      <c r="C48" s="1427" t="s">
        <v>247</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482</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483</v>
      </c>
      <c r="BE48" s="564"/>
      <c r="BF48" s="564" t="str">
        <f>IF(T48="","",T48)</f>
        <v>Наименование централизованной системы холодного водоснабжения</v>
      </c>
      <c r="BG48" s="564"/>
      <c r="BH48" s="564"/>
      <c r="BI48" s="1219">
        <v>41</v>
      </c>
    </row>
    <row s="4976" customFormat="1" customHeight="1" ht="0">
      <c r="A49" s="1407" t="s">
        <v>245</v>
      </c>
      <c r="B49" s="1407" t="s">
        <v>246</v>
      </c>
      <c r="C49" s="1407" t="s">
        <v>247</v>
      </c>
      <c r="D49" s="1407" t="s">
        <v>516</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976" customFormat="1" customHeight="1" ht="0">
      <c r="A50" s="1407" t="s">
        <v>245</v>
      </c>
      <c r="B50" s="1407" t="s">
        <v>246</v>
      </c>
      <c r="C50" s="1407" t="s">
        <v>247</v>
      </c>
      <c r="D50" s="1407" t="s">
        <v>516</v>
      </c>
      <c r="E50" s="2323"/>
      <c r="F50" s="2323"/>
      <c r="G50" s="2323"/>
      <c r="H50" s="2323"/>
      <c r="I50" s="2320" t="str">
        <f>S49&amp;".1"</f>
        <v>.1</v>
      </c>
      <c r="J50" s="1407"/>
      <c r="K50" s="1407"/>
      <c r="L50" s="1410" t="s">
        <v>407</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976" customFormat="1" customHeight="1" ht="0">
      <c r="A51" s="1407" t="s">
        <v>245</v>
      </c>
      <c r="B51" s="1407" t="s">
        <v>246</v>
      </c>
      <c r="C51" s="1407" t="s">
        <v>247</v>
      </c>
      <c r="D51" s="1407" t="s">
        <v>516</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245</v>
      </c>
      <c r="B52" s="1427" t="s">
        <v>246</v>
      </c>
      <c r="C52" s="1427" t="s">
        <v>247</v>
      </c>
      <c r="D52" s="1427" t="s">
        <v>516</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62</v>
      </c>
      <c r="AB52" s="1798"/>
      <c r="AC52" s="1523" t="s">
        <v>62</v>
      </c>
      <c r="AD52" s="2249" t="s">
        <v>62</v>
      </c>
      <c r="AE52" s="2390"/>
      <c r="AF52" s="2269">
        <v>1</v>
      </c>
      <c r="AG52" s="2427"/>
      <c r="AH52" s="2171" t="s">
        <v>62</v>
      </c>
      <c r="AI52" s="2390"/>
      <c r="AJ52" s="2269">
        <v>1</v>
      </c>
      <c r="AK52" s="2391" t="s">
        <v>28</v>
      </c>
      <c r="AL52" s="2171" t="s">
        <v>62</v>
      </c>
      <c r="AM52" s="2256"/>
      <c r="AN52" s="2269">
        <v>1</v>
      </c>
      <c r="AO52" s="2421"/>
      <c r="AP52" s="2422" t="s">
        <v>62</v>
      </c>
      <c r="AQ52" s="375"/>
      <c r="AR52" s="1527">
        <v>1</v>
      </c>
      <c r="AS52" s="1530" t="s">
        <v>28</v>
      </c>
      <c r="AT52" s="815"/>
      <c r="AU52" s="1321"/>
      <c r="AV52" s="815"/>
      <c r="AW52" s="1321"/>
      <c r="AX52" s="1798"/>
      <c r="AY52" s="1523" t="s">
        <v>62</v>
      </c>
      <c r="AZ52" s="1798"/>
      <c r="BA52" s="1523" t="s">
        <v>62</v>
      </c>
      <c r="BB52" s="1412"/>
      <c r="BC52" s="2317" t="s">
        <v>502</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503</v>
      </c>
      <c r="AT53" s="1457"/>
      <c r="AU53" s="1560"/>
      <c r="AV53" s="1457"/>
      <c r="AW53" s="1560"/>
      <c r="AX53" s="1457"/>
      <c r="AY53" s="1457"/>
      <c r="AZ53" s="1457"/>
      <c r="BA53" s="1457"/>
      <c r="BB53" s="1461"/>
      <c r="BC53" s="2318"/>
      <c r="BE53" s="564"/>
      <c r="BF53" s="564"/>
      <c r="BG53" s="564"/>
      <c r="BH53" s="564"/>
      <c r="BI53" s="1219">
        <v>11</v>
      </c>
    </row>
    <row customHeight="1" ht="11.549999999999999">
      <c r="A54" s="1427" t="s">
        <v>245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504</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245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505</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245</v>
      </c>
      <c r="B56" s="1427" t="s">
        <v>246</v>
      </c>
      <c r="C56" s="1427" t="s">
        <v>247</v>
      </c>
      <c r="D56" s="1427" t="s">
        <v>516</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506</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245</v>
      </c>
      <c r="B57" s="1427" t="s">
        <v>246</v>
      </c>
      <c r="C57" s="1427" t="s">
        <v>247</v>
      </c>
      <c r="D57" s="1427" t="s">
        <v>516</v>
      </c>
      <c r="E57" s="2323"/>
      <c r="F57" s="2323"/>
      <c r="G57" s="2323"/>
      <c r="H57" s="2323"/>
      <c r="I57" s="2350"/>
      <c r="J57" s="2320"/>
      <c r="K57" s="1427"/>
      <c r="L57" s="1428"/>
      <c r="P57" s="2321"/>
      <c r="Q57" s="2321"/>
      <c r="R57" s="420"/>
      <c r="S57" s="1342"/>
      <c r="T57" s="351" t="s">
        <v>469</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976" customFormat="1" customHeight="1" ht="0">
      <c r="A58" s="1407" t="s">
        <v>245</v>
      </c>
      <c r="B58" s="1407" t="s">
        <v>246</v>
      </c>
      <c r="C58" s="1407" t="s">
        <v>247</v>
      </c>
      <c r="D58" s="1407" t="s">
        <v>516</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976" customFormat="1" customHeight="1" ht="0">
      <c r="A59" s="1407" t="s">
        <v>245</v>
      </c>
      <c r="B59" s="1407" t="s">
        <v>246</v>
      </c>
      <c r="C59" s="1407" t="s">
        <v>247</v>
      </c>
      <c r="D59" s="1407" t="s">
        <v>516</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976" customFormat="1" customHeight="1" ht="0">
      <c r="A60" s="1407" t="s">
        <v>245</v>
      </c>
      <c r="B60" s="1407" t="s">
        <v>246</v>
      </c>
      <c r="C60" s="1407" t="s">
        <v>247</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976" customFormat="1" customHeight="1" ht="0">
      <c r="A61" s="1407" t="s">
        <v>245</v>
      </c>
      <c r="B61" s="1407" t="s">
        <v>246</v>
      </c>
      <c r="C61" s="1378"/>
      <c r="D61" s="1378"/>
      <c r="E61" s="2323"/>
      <c r="F61" s="2322"/>
      <c r="G61" s="1378"/>
      <c r="H61" s="1378"/>
      <c r="I61" s="1378"/>
      <c r="J61" s="1378"/>
      <c r="K61" s="1378"/>
      <c r="L61" s="1528"/>
      <c r="M61" s="1385"/>
      <c r="N61" s="1385"/>
      <c r="P61" s="1380"/>
      <c r="Q61" s="1381"/>
      <c r="R61" s="1380"/>
      <c r="S61" s="1386"/>
      <c r="T61" s="1389" t="s">
        <v>255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976" customFormat="1" customHeight="1" ht="0">
      <c r="A62" s="1407" t="s">
        <v>245</v>
      </c>
      <c r="B62" s="1407"/>
      <c r="C62" s="1407"/>
      <c r="D62" s="1407"/>
      <c r="E62" s="2322"/>
      <c r="F62" s="1407"/>
      <c r="G62" s="1407"/>
      <c r="H62" s="1407"/>
      <c r="I62" s="1407"/>
      <c r="J62" s="1407"/>
      <c r="K62" s="1407"/>
      <c r="L62" s="1410"/>
      <c r="M62" s="1385"/>
      <c r="N62" s="1385"/>
      <c r="O62" s="582"/>
      <c r="P62" s="444"/>
      <c r="Q62" s="1408"/>
      <c r="R62" s="444"/>
      <c r="S62" s="1386"/>
      <c r="T62" s="1389" t="s">
        <v>256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976"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257</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83</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04831-7B13-9018-1F08-0.8C6B98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4.140625" hidden="1" customWidth="1"/>
    <col min="10" max="10" style="5416" width="9.8515625" hidden="1" customWidth="1"/>
    <col min="11" max="11" style="5416" width="14.71093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4" style="5468" width="24.7109375" hidden="1" customWidth="1"/>
    <col min="25" max="25" style="5468" width="11.7109375" hidden="1" customWidth="1"/>
    <col min="26" max="26" style="5468" width="3.7109375" hidden="1" customWidth="1"/>
    <col min="27" max="27" style="5468" width="11.7109375" hidden="1" customWidth="1"/>
    <col min="28" max="28" style="5468" width="8.57421875" hidden="1" customWidth="1"/>
    <col min="29" max="29" style="5468" width="24.7109375" customWidth="1"/>
    <col min="30" max="31" style="5468" width="24.00390625" customWidth="1"/>
    <col min="32" max="32" style="5468" width="11.00390625" customWidth="1"/>
    <col min="33" max="33" style="5468" width="3.7109375" customWidth="1"/>
    <col min="34" max="34" style="5468" width="11.00390625" customWidth="1"/>
    <col min="35" max="35" style="5468" width="8.57421875" hidden="1" customWidth="1"/>
    <col min="36" max="36" style="5468" width="4.00390625" customWidth="1"/>
    <col min="37" max="37" style="5468" width="115.00390625" customWidth="1"/>
    <col min="38" max="42" style="4976" width="10.00390625" customWidth="1"/>
    <col min="43" max="43" style="546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124</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518</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484</v>
      </c>
      <c r="U5" s="364"/>
      <c r="V5" s="2414"/>
      <c r="W5" s="2415"/>
      <c r="X5" s="2415"/>
      <c r="Y5" s="2415"/>
      <c r="Z5" s="2415"/>
      <c r="AA5" s="2415"/>
      <c r="AB5" s="2416"/>
      <c r="AC5" s="2417"/>
      <c r="AD5" s="2418"/>
      <c r="AE5" s="2418"/>
      <c r="AF5" s="2418"/>
      <c r="AG5" s="2418"/>
      <c r="AH5" s="2418"/>
      <c r="AI5" s="2418"/>
      <c r="AJ5" s="2419"/>
      <c r="AK5" s="1322" t="s">
        <v>485</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1"/>
      <c r="AC6" s="2309"/>
      <c r="AD6" s="2310"/>
      <c r="AE6" s="2310"/>
      <c r="AF6" s="2310"/>
      <c r="AG6" s="2310"/>
      <c r="AH6" s="2310"/>
      <c r="AI6" s="2310"/>
      <c r="AJ6" s="2311"/>
      <c r="AK6" s="1371" t="s">
        <v>486</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62</v>
      </c>
      <c r="AA7" s="2329"/>
      <c r="AB7" s="2171" t="s">
        <v>62</v>
      </c>
      <c r="AC7" s="815"/>
      <c r="AD7" s="815"/>
      <c r="AE7" s="1321"/>
      <c r="AF7" s="2329"/>
      <c r="AG7" s="2171" t="s">
        <v>62</v>
      </c>
      <c r="AH7" s="2351"/>
      <c r="AI7" s="2171" t="s">
        <v>62</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487</v>
      </c>
      <c r="U9" s="431"/>
      <c r="V9" s="431"/>
      <c r="W9" s="431"/>
      <c r="X9" s="431"/>
      <c r="Y9" s="431"/>
      <c r="Z9" s="431"/>
      <c r="AA9" s="431"/>
      <c r="AB9" s="431"/>
      <c r="AC9" s="431"/>
      <c r="AD9" s="431"/>
      <c r="AE9" s="431"/>
      <c r="AF9" s="431"/>
      <c r="AG9" s="431"/>
      <c r="AH9" s="431"/>
      <c r="AI9" s="431"/>
      <c r="AJ9" s="431"/>
      <c r="AK9" s="1322" t="s">
        <v>488</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489</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976"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255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976"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62</v>
      </c>
      <c r="AH15" s="2331"/>
      <c r="AI15" s="2332" t="s">
        <v>62</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416" customFormat="1" customHeight="1" ht="22.5" hidden="1">
      <c r="L18" s="1542"/>
      <c r="M18" s="1426"/>
      <c r="N18" s="1426"/>
      <c r="O18" s="1431" t="s">
        <v>419</v>
      </c>
      <c r="P18" s="1426"/>
      <c r="Q18" s="1435"/>
      <c r="R18" s="1435"/>
      <c r="S18" s="793"/>
      <c r="Y18" s="1431"/>
      <c r="AA18" s="1431"/>
      <c r="AB18" s="1430"/>
      <c r="AF18" s="1431"/>
      <c r="AH18" s="1431"/>
      <c r="AI18" s="1430"/>
      <c r="AL18" s="575"/>
      <c r="AM18" s="575"/>
      <c r="AN18" s="575"/>
      <c r="AO18" s="575"/>
      <c r="AP18" s="575"/>
      <c r="AQ18" s="1224">
        <v>0</v>
      </c>
    </row>
    <row s="5416" customFormat="1" customHeight="1" ht="14.25" hidden="1">
      <c r="L19" s="1542"/>
      <c r="M19" s="1426"/>
      <c r="N19" s="1426"/>
      <c r="O19" s="1426"/>
      <c r="P19" s="1426"/>
      <c r="Q19" s="1435"/>
      <c r="R19" s="1435"/>
      <c r="S19" s="793"/>
      <c r="AB19" s="1430"/>
      <c r="AI19" s="1430"/>
      <c r="AL19" s="575"/>
      <c r="AM19" s="575"/>
      <c r="AN19" s="575"/>
      <c r="AO19" s="575"/>
      <c r="AP19" s="575"/>
      <c r="AQ19" s="1224">
        <v>0</v>
      </c>
    </row>
    <row s="5416" customFormat="1" customHeight="1" ht="12" hidden="1">
      <c r="L20" s="1542"/>
      <c r="M20" s="1426"/>
      <c r="N20" s="1426"/>
      <c r="O20" s="1428" t="s">
        <v>420</v>
      </c>
      <c r="P20" s="1426"/>
      <c r="Q20" s="1506"/>
      <c r="R20" s="1506"/>
      <c r="S20" s="793"/>
      <c r="T20" s="1224" t="s">
        <v>421</v>
      </c>
      <c r="Z20" s="250" t="s">
        <v>422</v>
      </c>
      <c r="AB20" s="250" t="s">
        <v>423</v>
      </c>
      <c r="AC20" s="1224" t="s">
        <v>421</v>
      </c>
      <c r="AG20" s="250" t="s">
        <v>424</v>
      </c>
      <c r="AI20" s="250" t="s">
        <v>423</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601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УГРЦТ НАО</v>
      </c>
      <c r="W27" s="2315"/>
      <c r="X27" s="2315"/>
      <c r="Y27" s="2315"/>
      <c r="Z27" s="2315"/>
      <c r="AA27" s="2315"/>
      <c r="AB27" s="390"/>
      <c r="AC27" s="2315" t="str">
        <f>IF(TITLE_NAME_OR_PR_CHANGE="",IF(TITLE_NAME_OR_PR="","",TITLE_NAME_OR_PR),TITLE_NAME_OR_PR_CHANGE)</f>
        <v>УГРЦТ НАО</v>
      </c>
      <c r="AD27" s="2315"/>
      <c r="AE27" s="2315"/>
      <c r="AF27" s="2315"/>
      <c r="AG27" s="2315"/>
      <c r="AH27" s="2315"/>
      <c r="AI27" s="390"/>
      <c r="AJ27" s="390"/>
      <c r="AK27" s="344"/>
      <c r="AL27" s="432"/>
      <c r="AM27" s="432"/>
      <c r="AN27" s="432"/>
      <c r="AO27" s="432"/>
      <c r="AP27" s="432"/>
      <c r="AQ27" s="482">
        <v>0</v>
      </c>
    </row>
    <row s="6011" customFormat="1" customHeight="1" ht="18.75">
      <c r="A28" s="1432"/>
      <c r="B28" s="1432"/>
      <c r="C28" s="1432"/>
      <c r="D28" s="1432"/>
      <c r="E28" s="1432"/>
      <c r="F28" s="1432"/>
      <c r="G28" s="1432"/>
      <c r="H28" s="1432"/>
      <c r="I28" s="1432"/>
      <c r="J28" s="1432"/>
      <c r="K28" s="1432"/>
      <c r="L28" s="1433"/>
      <c r="M28" s="1432"/>
      <c r="N28" s="1432"/>
      <c r="O28" s="1432"/>
      <c r="S28" s="2314" t="s">
        <v>425</v>
      </c>
      <c r="T28" s="2314"/>
      <c r="U28" s="1436"/>
      <c r="V28" s="2328" t="str">
        <f>IF(TITLE_DATE_PR_CHANGE="",IF(TITLE_DATE_PR="","",TITLE_DATE_PR),TITLE_DATE_PR_CHANGE)</f>
        <v>46008.48059027778</v>
      </c>
      <c r="W28" s="2328"/>
      <c r="X28" s="2328"/>
      <c r="Y28" s="2328"/>
      <c r="Z28" s="2328"/>
      <c r="AA28" s="2328"/>
      <c r="AB28" s="390"/>
      <c r="AC28" s="2328" t="str">
        <f>IF(TITLE_DATE_PR_CHANGE="",IF(TITLE_DATE_PR="","",TITLE_DATE_PR),TITLE_DATE_PR_CHANGE)</f>
        <v>46008.48059027778</v>
      </c>
      <c r="AD28" s="2328"/>
      <c r="AE28" s="2328"/>
      <c r="AF28" s="2328"/>
      <c r="AG28" s="2328"/>
      <c r="AH28" s="2328"/>
      <c r="AI28" s="390"/>
      <c r="AJ28" s="390"/>
      <c r="AK28" s="344"/>
      <c r="AL28" s="432"/>
      <c r="AM28" s="432"/>
      <c r="AN28" s="432"/>
      <c r="AO28" s="432"/>
      <c r="AP28" s="432"/>
      <c r="AQ28" s="482">
        <v>0</v>
      </c>
    </row>
    <row s="6011" customFormat="1" customHeight="1" ht="18.75">
      <c r="A29" s="1432"/>
      <c r="B29" s="1432"/>
      <c r="C29" s="1432"/>
      <c r="D29" s="1432"/>
      <c r="E29" s="1432"/>
      <c r="F29" s="1432"/>
      <c r="G29" s="1432"/>
      <c r="H29" s="1432"/>
      <c r="I29" s="1432"/>
      <c r="J29" s="1432"/>
      <c r="K29" s="1432"/>
      <c r="L29" s="1433"/>
      <c r="M29" s="1432"/>
      <c r="N29" s="1432"/>
      <c r="O29" s="1432"/>
      <c r="S29" s="2314" t="s">
        <v>426</v>
      </c>
      <c r="T29" s="2314"/>
      <c r="U29" s="1436"/>
      <c r="V29" s="2315" t="str">
        <f>IF(TITLE_NUMBER_PR_CHANGE="",IF(TITLE_NUMBER_PR="","",TITLE_NUMBER_PR),TITLE_NUMBER_PR_CHANGE)</f>
        <v>58</v>
      </c>
      <c r="W29" s="2315"/>
      <c r="X29" s="2315"/>
      <c r="Y29" s="2315"/>
      <c r="Z29" s="2315"/>
      <c r="AA29" s="2315"/>
      <c r="AB29" s="390"/>
      <c r="AC29" s="2315" t="str">
        <f>IF(TITLE_NUMBER_PR_CHANGE="",IF(TITLE_NUMBER_PR="","",TITLE_NUMBER_PR),TITLE_NUMBER_PR_CHANGE)</f>
        <v>58</v>
      </c>
      <c r="AD29" s="2315"/>
      <c r="AE29" s="2315"/>
      <c r="AF29" s="2315"/>
      <c r="AG29" s="2315"/>
      <c r="AH29" s="2315"/>
      <c r="AI29" s="390"/>
      <c r="AJ29" s="390"/>
      <c r="AK29" s="344"/>
      <c r="AL29" s="432"/>
      <c r="AM29" s="432"/>
      <c r="AN29" s="432"/>
      <c r="AO29" s="432"/>
      <c r="AP29" s="432"/>
      <c r="AQ29" s="482">
        <v>0</v>
      </c>
    </row>
    <row s="601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http://pravo.gov.ru</v>
      </c>
      <c r="W30" s="2315"/>
      <c r="X30" s="2315"/>
      <c r="Y30" s="2315"/>
      <c r="Z30" s="2315"/>
      <c r="AA30" s="2315"/>
      <c r="AB30" s="390"/>
      <c r="AC30" s="2315" t="str">
        <f>IF(TITLE_IST_PUB_CHANGE="",IF(TITLE_IST_PUB="","",TITLE_IST_PUB),TITLE_IST_PUB_CHANGE)</f>
        <v>http://pravo.gov.ru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6011" customFormat="1" customHeight="1" ht="18.75" hidden="1">
      <c r="A32" s="1432"/>
      <c r="B32" s="1432"/>
      <c r="C32" s="1432"/>
      <c r="D32" s="1432"/>
      <c r="E32" s="1432"/>
      <c r="F32" s="1432"/>
      <c r="G32" s="1432"/>
      <c r="H32" s="1432"/>
      <c r="I32" s="1432"/>
      <c r="J32" s="1432"/>
      <c r="K32" s="1432"/>
      <c r="L32" s="1433"/>
      <c r="M32" s="1432"/>
      <c r="N32" s="1432"/>
      <c r="O32" s="1432"/>
      <c r="S32" s="2314" t="s">
        <v>427</v>
      </c>
      <c r="T32" s="2314"/>
      <c r="U32" s="1436"/>
      <c r="V32" s="2328" t="str">
        <f>IF(TITLE_DATE_PR_CHANGE="",IF(TITLE_DATE_PR="","",TITLE_DATE_PR),TITLE_DATE_PR_CHANGE)</f>
        <v>46008.48059027778</v>
      </c>
      <c r="W32" s="2328"/>
      <c r="X32" s="2328"/>
      <c r="Y32" s="2328"/>
      <c r="Z32" s="2328"/>
      <c r="AA32" s="2328"/>
      <c r="AB32" s="390"/>
      <c r="AC32" s="2328" t="str">
        <f>IF(TITLE_DATE_PR_CHANGE="",IF(TITLE_DATE_PR="","",TITLE_DATE_PR),TITLE_DATE_PR_CHANGE)</f>
        <v>46008.48059027778</v>
      </c>
      <c r="AD32" s="2328"/>
      <c r="AE32" s="2328"/>
      <c r="AF32" s="2328"/>
      <c r="AG32" s="2328"/>
      <c r="AH32" s="2328"/>
      <c r="AI32" s="390"/>
      <c r="AJ32" s="390"/>
      <c r="AK32" s="344"/>
      <c r="AL32" s="432"/>
      <c r="AM32" s="432"/>
      <c r="AN32" s="432"/>
      <c r="AO32" s="432"/>
      <c r="AP32" s="432"/>
      <c r="AQ32" s="482">
        <v>0</v>
      </c>
    </row>
    <row s="6011" customFormat="1" customHeight="1" ht="18.75" hidden="1">
      <c r="A33" s="1432"/>
      <c r="B33" s="1432"/>
      <c r="C33" s="1432"/>
      <c r="D33" s="1432"/>
      <c r="E33" s="1432"/>
      <c r="F33" s="1432"/>
      <c r="G33" s="1432"/>
      <c r="H33" s="1432"/>
      <c r="I33" s="1432"/>
      <c r="J33" s="1432"/>
      <c r="K33" s="1432"/>
      <c r="L33" s="1433"/>
      <c r="M33" s="1432"/>
      <c r="N33" s="1432"/>
      <c r="O33" s="1432"/>
      <c r="S33" s="2314" t="s">
        <v>428</v>
      </c>
      <c r="T33" s="2314"/>
      <c r="U33" s="1436"/>
      <c r="V33" s="2315" t="str">
        <f>IF(TITLE_NUMBER_PR_CHANGE="",IF(TITLE_NUMBER_PR="","",TITLE_NUMBER_PR),TITLE_NUMBER_PR_CHANGE)</f>
        <v>58</v>
      </c>
      <c r="W33" s="2315"/>
      <c r="X33" s="2315"/>
      <c r="Y33" s="2315"/>
      <c r="Z33" s="2315"/>
      <c r="AA33" s="2315"/>
      <c r="AB33" s="390"/>
      <c r="AC33" s="2315" t="str">
        <f>IF(TITLE_NUMBER_PR_CHANGE="",IF(TITLE_NUMBER_PR="","",TITLE_NUMBER_PR),TITLE_NUMBER_PR_CHANGE)</f>
        <v>58</v>
      </c>
      <c r="AD33" s="2315"/>
      <c r="AE33" s="2315"/>
      <c r="AF33" s="2315"/>
      <c r="AG33" s="2315"/>
      <c r="AH33" s="2315"/>
      <c r="AI33" s="390"/>
      <c r="AJ33" s="390"/>
      <c r="AK33" s="344"/>
      <c r="AL33" s="432"/>
      <c r="AM33" s="432"/>
      <c r="AN33" s="432"/>
      <c r="AO33" s="432"/>
      <c r="AP33" s="432"/>
      <c r="AQ33" s="482">
        <v>0</v>
      </c>
    </row>
    <row s="601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429</v>
      </c>
      <c r="AC34" s="390"/>
      <c r="AD34" s="390"/>
      <c r="AE34" s="390"/>
      <c r="AF34" s="390"/>
      <c r="AG34" s="390"/>
      <c r="AH34" s="390"/>
      <c r="AI34" s="342" t="s">
        <v>429</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89</v>
      </c>
      <c r="T37" s="2273" t="s">
        <v>430</v>
      </c>
      <c r="U37" s="365"/>
      <c r="V37" s="2338" t="s">
        <v>431</v>
      </c>
      <c r="W37" s="2339"/>
      <c r="X37" s="2339"/>
      <c r="Y37" s="2339"/>
      <c r="Z37" s="2339"/>
      <c r="AA37" s="2340"/>
      <c r="AB37" s="2341" t="s">
        <v>432</v>
      </c>
      <c r="AC37" s="2338" t="s">
        <v>431</v>
      </c>
      <c r="AD37" s="2339"/>
      <c r="AE37" s="2339"/>
      <c r="AF37" s="2339"/>
      <c r="AG37" s="2339"/>
      <c r="AH37" s="2340"/>
      <c r="AI37" s="2341" t="s">
        <v>433</v>
      </c>
      <c r="AJ37" s="2344" t="s">
        <v>434</v>
      </c>
      <c r="AK37" s="2191"/>
      <c r="AQ37" s="1219">
        <v>14</v>
      </c>
    </row>
    <row customHeight="1" ht="35.699999999999996">
      <c r="Q38" s="440"/>
      <c r="R38" s="440"/>
      <c r="S38" s="2337"/>
      <c r="T38" s="2273"/>
      <c r="U38" s="1095"/>
      <c r="V38" s="1547" t="s">
        <v>490</v>
      </c>
      <c r="W38" s="2326" t="s">
        <v>437</v>
      </c>
      <c r="X38" s="2327"/>
      <c r="Y38" s="2326" t="s">
        <v>438</v>
      </c>
      <c r="Z38" s="2333"/>
      <c r="AA38" s="2327"/>
      <c r="AB38" s="2342"/>
      <c r="AC38" s="1547" t="s">
        <v>490</v>
      </c>
      <c r="AD38" s="2326" t="s">
        <v>437</v>
      </c>
      <c r="AE38" s="2327"/>
      <c r="AF38" s="2326" t="s">
        <v>438</v>
      </c>
      <c r="AG38" s="2333"/>
      <c r="AH38" s="2327"/>
      <c r="AI38" s="2342"/>
      <c r="AJ38" s="2345"/>
      <c r="AK38" s="2191"/>
      <c r="AQ38" s="1219">
        <v>34</v>
      </c>
    </row>
    <row customHeight="1" ht="90.3">
      <c r="A39" s="1434"/>
      <c r="B39" s="1434" t="s">
        <v>136</v>
      </c>
      <c r="C39" s="1434" t="s">
        <v>137</v>
      </c>
      <c r="D39" s="1434" t="s">
        <v>138</v>
      </c>
      <c r="E39" s="1428" t="s">
        <v>439</v>
      </c>
      <c r="F39" s="1428" t="s">
        <v>440</v>
      </c>
      <c r="G39" s="1428" t="s">
        <v>441</v>
      </c>
      <c r="H39" s="1428"/>
      <c r="I39" s="1428" t="s">
        <v>491</v>
      </c>
      <c r="J39" s="1428" t="s">
        <v>444</v>
      </c>
      <c r="K39" s="1428" t="s">
        <v>492</v>
      </c>
      <c r="L39" s="1428" t="s">
        <v>420</v>
      </c>
      <c r="Q39" s="440"/>
      <c r="R39" s="440"/>
      <c r="S39" s="2337"/>
      <c r="T39" s="2273"/>
      <c r="U39" s="366"/>
      <c r="V39" s="1547" t="s">
        <v>519</v>
      </c>
      <c r="W39" s="1286" t="s">
        <v>520</v>
      </c>
      <c r="X39" s="1286" t="s">
        <v>495</v>
      </c>
      <c r="Y39" s="1553" t="s">
        <v>448</v>
      </c>
      <c r="Z39" s="2334" t="s">
        <v>449</v>
      </c>
      <c r="AA39" s="2335"/>
      <c r="AB39" s="2343"/>
      <c r="AC39" s="1547" t="s">
        <v>519</v>
      </c>
      <c r="AD39" s="1286" t="s">
        <v>520</v>
      </c>
      <c r="AE39" s="1286" t="s">
        <v>495</v>
      </c>
      <c r="AF39" s="1553" t="s">
        <v>448</v>
      </c>
      <c r="AG39" s="2334" t="s">
        <v>449</v>
      </c>
      <c r="AH39" s="2335"/>
      <c r="AI39" s="2343"/>
      <c r="AJ39" s="2346"/>
      <c r="AK39" s="2191"/>
      <c r="AQ39" s="1219">
        <v>86</v>
      </c>
    </row>
    <row s="3710"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270</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124</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270</v>
      </c>
      <c r="B42" s="1427" t="s">
        <v>271</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270</v>
      </c>
      <c r="B43" s="1427" t="s">
        <v>271</v>
      </c>
      <c r="C43" s="1427" t="s">
        <v>272</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518</v>
      </c>
      <c r="AM43" s="564"/>
      <c r="AN43" s="564" t="str">
        <f>IF(T43="","",T43)</f>
        <v>Наименование централизованной системы водоотведения</v>
      </c>
      <c r="AO43" s="564"/>
      <c r="AP43" s="564"/>
      <c r="AQ43" s="1219">
        <v>23</v>
      </c>
    </row>
    <row customHeight="1" ht="24">
      <c r="A44" s="1427" t="s">
        <v>270</v>
      </c>
      <c r="B44" s="1427" t="s">
        <v>271</v>
      </c>
      <c r="C44" s="1427" t="s">
        <v>272</v>
      </c>
      <c r="D44" s="1427" t="s">
        <v>521</v>
      </c>
      <c r="E44" s="2323"/>
      <c r="F44" s="2323"/>
      <c r="G44" s="2323"/>
      <c r="H44" s="2323"/>
      <c r="I44" s="2320" t="str">
        <f>S43&amp;".1"</f>
        <v>...1</v>
      </c>
      <c r="J44" s="1427"/>
      <c r="K44" s="1427"/>
      <c r="L44" s="1428"/>
      <c r="P44" s="2321">
        <v>1</v>
      </c>
      <c r="Q44" s="1545"/>
      <c r="R44" s="420"/>
      <c r="S44" s="1557" t="str">
        <f>$I44</f>
        <v>...1</v>
      </c>
      <c r="T44" s="349" t="s">
        <v>484</v>
      </c>
      <c r="U44" s="364"/>
      <c r="V44" s="2414"/>
      <c r="W44" s="2415"/>
      <c r="X44" s="2415"/>
      <c r="Y44" s="2415"/>
      <c r="Z44" s="2415"/>
      <c r="AA44" s="2415"/>
      <c r="AB44" s="2416"/>
      <c r="AC44" s="2417"/>
      <c r="AD44" s="2418"/>
      <c r="AE44" s="2418"/>
      <c r="AF44" s="2418"/>
      <c r="AG44" s="2418"/>
      <c r="AH44" s="2418"/>
      <c r="AI44" s="2418"/>
      <c r="AJ44" s="2419"/>
      <c r="AK44" s="1322" t="s">
        <v>485</v>
      </c>
      <c r="AM44" s="564"/>
      <c r="AN44" s="564" t="str">
        <f>IF(T44="","",T44)</f>
        <v>Наименование признака дифференциации</v>
      </c>
      <c r="AO44" s="564"/>
      <c r="AP44" s="564"/>
      <c r="AQ44" s="1219">
        <v>23</v>
      </c>
    </row>
    <row customHeight="1" ht="24">
      <c r="A45" s="1427" t="s">
        <v>270</v>
      </c>
      <c r="B45" s="1427" t="s">
        <v>271</v>
      </c>
      <c r="C45" s="1427" t="s">
        <v>272</v>
      </c>
      <c r="D45" s="1427" t="s">
        <v>521</v>
      </c>
      <c r="E45" s="2323"/>
      <c r="F45" s="2323"/>
      <c r="G45" s="2323"/>
      <c r="H45" s="2323"/>
      <c r="I45" s="2350"/>
      <c r="J45" s="2320" t="str">
        <f>I44&amp;".1"</f>
        <v>...1.1</v>
      </c>
      <c r="K45" s="1427"/>
      <c r="L45" s="1428" t="s">
        <v>410</v>
      </c>
      <c r="P45" s="2321"/>
      <c r="Q45" s="2321">
        <v>1</v>
      </c>
      <c r="R45" s="421"/>
      <c r="S45" s="1557" t="str">
        <f>$J45</f>
        <v>...1.1</v>
      </c>
      <c r="T45" s="350" t="s">
        <v>411</v>
      </c>
      <c r="U45" s="364"/>
      <c r="V45" s="2309"/>
      <c r="W45" s="2310"/>
      <c r="X45" s="2310"/>
      <c r="Y45" s="2310"/>
      <c r="Z45" s="2310"/>
      <c r="AA45" s="2310"/>
      <c r="AB45" s="2311"/>
      <c r="AC45" s="2309"/>
      <c r="AD45" s="2310"/>
      <c r="AE45" s="2310"/>
      <c r="AF45" s="2310"/>
      <c r="AG45" s="2310"/>
      <c r="AH45" s="2310"/>
      <c r="AI45" s="2310"/>
      <c r="AJ45" s="2311"/>
      <c r="AK45" s="1371" t="s">
        <v>486</v>
      </c>
      <c r="AM45" s="564"/>
      <c r="AN45" s="564" t="str">
        <f>IF(T45="","",T45)</f>
        <v>Группа потребителей</v>
      </c>
      <c r="AO45" s="564"/>
      <c r="AP45" s="564"/>
      <c r="AQ45" s="1219">
        <v>23</v>
      </c>
    </row>
    <row customHeight="1" ht="24">
      <c r="A46" s="1427" t="s">
        <v>270</v>
      </c>
      <c r="B46" s="1427" t="s">
        <v>271</v>
      </c>
      <c r="C46" s="1427" t="s">
        <v>272</v>
      </c>
      <c r="D46" s="1427" t="s">
        <v>521</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62</v>
      </c>
      <c r="AA46" s="2331"/>
      <c r="AB46" s="2332" t="s">
        <v>62</v>
      </c>
      <c r="AC46" s="815"/>
      <c r="AD46" s="815"/>
      <c r="AE46" s="1321"/>
      <c r="AF46" s="2329"/>
      <c r="AG46" s="2171" t="s">
        <v>62</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270</v>
      </c>
      <c r="B47" s="1427" t="s">
        <v>271</v>
      </c>
      <c r="C47" s="1427" t="s">
        <v>272</v>
      </c>
      <c r="D47" s="1427" t="s">
        <v>521</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270</v>
      </c>
      <c r="B48" s="1427" t="s">
        <v>271</v>
      </c>
      <c r="C48" s="1427" t="s">
        <v>272</v>
      </c>
      <c r="D48" s="1427" t="s">
        <v>521</v>
      </c>
      <c r="E48" s="2323"/>
      <c r="F48" s="2323"/>
      <c r="G48" s="2323"/>
      <c r="H48" s="2323"/>
      <c r="I48" s="2350"/>
      <c r="J48" s="2320"/>
      <c r="K48" s="1427"/>
      <c r="L48" s="1428"/>
      <c r="P48" s="2321"/>
      <c r="Q48" s="2321"/>
      <c r="R48" s="420"/>
      <c r="S48" s="1342"/>
      <c r="T48" s="351" t="s">
        <v>487</v>
      </c>
      <c r="U48" s="431"/>
      <c r="V48" s="431"/>
      <c r="W48" s="431"/>
      <c r="X48" s="431"/>
      <c r="Y48" s="431"/>
      <c r="Z48" s="431"/>
      <c r="AA48" s="431"/>
      <c r="AB48" s="431"/>
      <c r="AC48" s="431"/>
      <c r="AD48" s="431"/>
      <c r="AE48" s="431"/>
      <c r="AF48" s="431"/>
      <c r="AG48" s="431"/>
      <c r="AH48" s="431"/>
      <c r="AI48" s="431"/>
      <c r="AJ48" s="431"/>
      <c r="AK48" s="1322" t="s">
        <v>488</v>
      </c>
      <c r="AM48" s="564"/>
      <c r="AN48" s="564" t="str">
        <f>IF(T48="","",T48)</f>
        <v>Добавить значение признака дифференциации</v>
      </c>
      <c r="AO48" s="564"/>
      <c r="AP48" s="564"/>
      <c r="AQ48" s="1219">
        <v>20</v>
      </c>
    </row>
    <row customHeight="1" ht="22.049999999999997">
      <c r="A49" s="1427" t="s">
        <v>270</v>
      </c>
      <c r="B49" s="1427" t="s">
        <v>271</v>
      </c>
      <c r="C49" s="1427" t="s">
        <v>272</v>
      </c>
      <c r="D49" s="1427" t="s">
        <v>521</v>
      </c>
      <c r="E49" s="2323"/>
      <c r="F49" s="2323"/>
      <c r="G49" s="2323"/>
      <c r="H49" s="2323"/>
      <c r="I49" s="2320"/>
      <c r="J49" s="1427"/>
      <c r="K49" s="1427"/>
      <c r="L49" s="1428"/>
      <c r="P49" s="2321"/>
      <c r="Q49" s="1545"/>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270</v>
      </c>
      <c r="B50" s="1427" t="s">
        <v>271</v>
      </c>
      <c r="C50" s="1427" t="s">
        <v>272</v>
      </c>
      <c r="D50" s="1427" t="s">
        <v>521</v>
      </c>
      <c r="E50" s="2323"/>
      <c r="F50" s="2323"/>
      <c r="G50" s="2323"/>
      <c r="H50" s="2322"/>
      <c r="I50" s="1427"/>
      <c r="J50" s="1427"/>
      <c r="K50" s="1427"/>
      <c r="L50" s="1428"/>
      <c r="M50" s="1429"/>
      <c r="N50" s="1429"/>
      <c r="O50" s="601"/>
      <c r="P50" s="424"/>
      <c r="Q50" s="439"/>
      <c r="R50" s="419"/>
      <c r="S50" s="1342"/>
      <c r="T50" s="436" t="s">
        <v>489</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976" customFormat="1" customHeight="1" ht="0">
      <c r="A51" s="1407" t="s">
        <v>270</v>
      </c>
      <c r="B51" s="1407" t="s">
        <v>271</v>
      </c>
      <c r="C51" s="1378"/>
      <c r="D51" s="1378"/>
      <c r="E51" s="2323"/>
      <c r="F51" s="2322"/>
      <c r="G51" s="1378"/>
      <c r="H51" s="1378"/>
      <c r="I51" s="1378"/>
      <c r="J51" s="1378"/>
      <c r="K51" s="1378"/>
      <c r="L51" s="1558"/>
      <c r="M51" s="1385"/>
      <c r="N51" s="1385"/>
      <c r="P51" s="1380"/>
      <c r="Q51" s="1381"/>
      <c r="R51" s="1380"/>
      <c r="S51" s="1386"/>
      <c r="T51" s="1389" t="s">
        <v>255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976" customFormat="1" customHeight="1" ht="0">
      <c r="A52" s="1407" t="s">
        <v>270</v>
      </c>
      <c r="B52" s="1407"/>
      <c r="C52" s="1407"/>
      <c r="D52" s="1407"/>
      <c r="E52" s="2322"/>
      <c r="F52" s="1407"/>
      <c r="G52" s="1407"/>
      <c r="H52" s="1407"/>
      <c r="I52" s="1407"/>
      <c r="J52" s="1407"/>
      <c r="K52" s="1407"/>
      <c r="L52" s="1410"/>
      <c r="M52" s="1385"/>
      <c r="N52" s="1385"/>
      <c r="O52" s="582"/>
      <c r="P52" s="444"/>
      <c r="Q52" s="1408"/>
      <c r="R52" s="444"/>
      <c r="S52" s="1386"/>
      <c r="T52" s="1389" t="s">
        <v>256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976"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257</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83</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D9371-E39B-4592-FAFC-0.9C3F41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4.140625" hidden="1" customWidth="1"/>
    <col min="10" max="10" style="5416" width="9.8515625" hidden="1" customWidth="1"/>
    <col min="11" max="11" style="5416" width="14.71093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4" style="5468" width="24.7109375" hidden="1" customWidth="1"/>
    <col min="25" max="25" style="5468" width="11.7109375" hidden="1" customWidth="1"/>
    <col min="26" max="26" style="5468" width="3.7109375" hidden="1" customWidth="1"/>
    <col min="27" max="27" style="5468" width="11.7109375" hidden="1" customWidth="1"/>
    <col min="28" max="28" style="5468" width="8.57421875" hidden="1" customWidth="1"/>
    <col min="29" max="29" style="5468" width="24.7109375" customWidth="1"/>
    <col min="30" max="31" style="5468" width="24.00390625" customWidth="1"/>
    <col min="32" max="32" style="5468" width="11.00390625" customWidth="1"/>
    <col min="33" max="33" style="5468" width="3.7109375" customWidth="1"/>
    <col min="34" max="34" style="5468" width="11.00390625" customWidth="1"/>
    <col min="35" max="35" style="5468" width="8.57421875" hidden="1" customWidth="1"/>
    <col min="36" max="36" style="5468" width="4.00390625" customWidth="1"/>
    <col min="37" max="37" style="5468" width="115.00390625" customWidth="1"/>
    <col min="38" max="42" style="4976" width="10.00390625" customWidth="1"/>
    <col min="43" max="43" style="546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124</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518</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484</v>
      </c>
      <c r="U5" s="364"/>
      <c r="V5" s="2414"/>
      <c r="W5" s="2415"/>
      <c r="X5" s="2415"/>
      <c r="Y5" s="2415"/>
      <c r="Z5" s="2415"/>
      <c r="AA5" s="2415"/>
      <c r="AB5" s="2416"/>
      <c r="AC5" s="2417"/>
      <c r="AD5" s="2418"/>
      <c r="AE5" s="2418"/>
      <c r="AF5" s="2418"/>
      <c r="AG5" s="2418"/>
      <c r="AH5" s="2418"/>
      <c r="AI5" s="2418"/>
      <c r="AJ5" s="2419"/>
      <c r="AK5" s="1322" t="s">
        <v>485</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1"/>
      <c r="AC6" s="2309"/>
      <c r="AD6" s="2310"/>
      <c r="AE6" s="2310"/>
      <c r="AF6" s="2310"/>
      <c r="AG6" s="2310"/>
      <c r="AH6" s="2310"/>
      <c r="AI6" s="2310"/>
      <c r="AJ6" s="2311"/>
      <c r="AK6" s="1371" t="s">
        <v>486</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62</v>
      </c>
      <c r="AA7" s="2329"/>
      <c r="AB7" s="2171" t="s">
        <v>62</v>
      </c>
      <c r="AC7" s="815"/>
      <c r="AD7" s="815"/>
      <c r="AE7" s="1321"/>
      <c r="AF7" s="2329"/>
      <c r="AG7" s="2171" t="s">
        <v>62</v>
      </c>
      <c r="AH7" s="2351"/>
      <c r="AI7" s="2171" t="s">
        <v>62</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487</v>
      </c>
      <c r="U9" s="431"/>
      <c r="V9" s="431"/>
      <c r="W9" s="431"/>
      <c r="X9" s="431"/>
      <c r="Y9" s="431"/>
      <c r="Z9" s="431"/>
      <c r="AA9" s="431"/>
      <c r="AB9" s="431"/>
      <c r="AC9" s="431"/>
      <c r="AD9" s="431"/>
      <c r="AE9" s="431"/>
      <c r="AF9" s="431"/>
      <c r="AG9" s="431"/>
      <c r="AH9" s="431"/>
      <c r="AI9" s="431"/>
      <c r="AJ9" s="431"/>
      <c r="AK9" s="1322" t="s">
        <v>488</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489</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976"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255</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976"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256</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62</v>
      </c>
      <c r="AH15" s="2331"/>
      <c r="AI15" s="2332" t="s">
        <v>62</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416" customFormat="1" customHeight="1" ht="22.5" hidden="1">
      <c r="L18" s="1542"/>
      <c r="M18" s="1426"/>
      <c r="N18" s="1426"/>
      <c r="O18" s="1431" t="s">
        <v>419</v>
      </c>
      <c r="P18" s="1426"/>
      <c r="Q18" s="1435"/>
      <c r="R18" s="1435"/>
      <c r="S18" s="793"/>
      <c r="Y18" s="1431"/>
      <c r="AA18" s="1431"/>
      <c r="AB18" s="1430"/>
      <c r="AF18" s="1431"/>
      <c r="AH18" s="1431"/>
      <c r="AI18" s="1430"/>
      <c r="AL18" s="575"/>
      <c r="AM18" s="575"/>
      <c r="AN18" s="575"/>
      <c r="AO18" s="575"/>
      <c r="AP18" s="575"/>
      <c r="AQ18" s="1224">
        <v>0</v>
      </c>
    </row>
    <row s="5416" customFormat="1" customHeight="1" ht="14.25" hidden="1">
      <c r="L19" s="1542"/>
      <c r="M19" s="1426"/>
      <c r="N19" s="1426"/>
      <c r="O19" s="1426"/>
      <c r="P19" s="1426"/>
      <c r="Q19" s="1435"/>
      <c r="R19" s="1435"/>
      <c r="S19" s="793"/>
      <c r="AB19" s="1430"/>
      <c r="AI19" s="1430"/>
      <c r="AL19" s="575"/>
      <c r="AM19" s="575"/>
      <c r="AN19" s="575"/>
      <c r="AO19" s="575"/>
      <c r="AP19" s="575"/>
      <c r="AQ19" s="1224">
        <v>0</v>
      </c>
    </row>
    <row s="5416" customFormat="1" customHeight="1" ht="12" hidden="1">
      <c r="L20" s="1542"/>
      <c r="M20" s="1426"/>
      <c r="N20" s="1426"/>
      <c r="O20" s="1428" t="s">
        <v>420</v>
      </c>
      <c r="P20" s="1426"/>
      <c r="Q20" s="1506"/>
      <c r="R20" s="1506"/>
      <c r="S20" s="793"/>
      <c r="T20" s="1224" t="s">
        <v>421</v>
      </c>
      <c r="Z20" s="250" t="s">
        <v>422</v>
      </c>
      <c r="AB20" s="250" t="s">
        <v>423</v>
      </c>
      <c r="AC20" s="1224" t="s">
        <v>421</v>
      </c>
      <c r="AG20" s="250" t="s">
        <v>424</v>
      </c>
      <c r="AI20" s="250" t="s">
        <v>423</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601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УГРЦТ НАО</v>
      </c>
      <c r="W27" s="2315"/>
      <c r="X27" s="2315"/>
      <c r="Y27" s="2315"/>
      <c r="Z27" s="2315"/>
      <c r="AA27" s="2315"/>
      <c r="AB27" s="390"/>
      <c r="AC27" s="2315" t="str">
        <f>IF(TITLE_NAME_OR_PR_CHANGE="",IF(TITLE_NAME_OR_PR="","",TITLE_NAME_OR_PR),TITLE_NAME_OR_PR_CHANGE)</f>
        <v>УГРЦТ НАО</v>
      </c>
      <c r="AD27" s="2315"/>
      <c r="AE27" s="2315"/>
      <c r="AF27" s="2315"/>
      <c r="AG27" s="2315"/>
      <c r="AH27" s="2315"/>
      <c r="AI27" s="390"/>
      <c r="AJ27" s="390"/>
      <c r="AK27" s="344"/>
      <c r="AL27" s="432"/>
      <c r="AM27" s="432"/>
      <c r="AN27" s="432"/>
      <c r="AO27" s="432"/>
      <c r="AP27" s="432"/>
      <c r="AQ27" s="482">
        <v>0</v>
      </c>
    </row>
    <row s="6011" customFormat="1" customHeight="1" ht="18.75">
      <c r="A28" s="1432"/>
      <c r="B28" s="1432"/>
      <c r="C28" s="1432"/>
      <c r="D28" s="1432"/>
      <c r="E28" s="1432"/>
      <c r="F28" s="1432"/>
      <c r="G28" s="1432"/>
      <c r="H28" s="1432"/>
      <c r="I28" s="1432"/>
      <c r="J28" s="1432"/>
      <c r="K28" s="1432"/>
      <c r="L28" s="1433"/>
      <c r="M28" s="1432"/>
      <c r="N28" s="1432"/>
      <c r="O28" s="1432"/>
      <c r="S28" s="2314" t="s">
        <v>425</v>
      </c>
      <c r="T28" s="2314"/>
      <c r="U28" s="1436"/>
      <c r="V28" s="2328" t="str">
        <f>IF(TITLE_DATE_PR_CHANGE="",IF(TITLE_DATE_PR="","",TITLE_DATE_PR),TITLE_DATE_PR_CHANGE)</f>
        <v>46008.48059027778</v>
      </c>
      <c r="W28" s="2328"/>
      <c r="X28" s="2328"/>
      <c r="Y28" s="2328"/>
      <c r="Z28" s="2328"/>
      <c r="AA28" s="2328"/>
      <c r="AB28" s="390"/>
      <c r="AC28" s="2328" t="str">
        <f>IF(TITLE_DATE_PR_CHANGE="",IF(TITLE_DATE_PR="","",TITLE_DATE_PR),TITLE_DATE_PR_CHANGE)</f>
        <v>46008.48059027778</v>
      </c>
      <c r="AD28" s="2328"/>
      <c r="AE28" s="2328"/>
      <c r="AF28" s="2328"/>
      <c r="AG28" s="2328"/>
      <c r="AH28" s="2328"/>
      <c r="AI28" s="390"/>
      <c r="AJ28" s="390"/>
      <c r="AK28" s="344"/>
      <c r="AL28" s="432"/>
      <c r="AM28" s="432"/>
      <c r="AN28" s="432"/>
      <c r="AO28" s="432"/>
      <c r="AP28" s="432"/>
      <c r="AQ28" s="482">
        <v>0</v>
      </c>
    </row>
    <row s="6011" customFormat="1" customHeight="1" ht="18.75">
      <c r="A29" s="1432"/>
      <c r="B29" s="1432"/>
      <c r="C29" s="1432"/>
      <c r="D29" s="1432"/>
      <c r="E29" s="1432"/>
      <c r="F29" s="1432"/>
      <c r="G29" s="1432"/>
      <c r="H29" s="1432"/>
      <c r="I29" s="1432"/>
      <c r="J29" s="1432"/>
      <c r="K29" s="1432"/>
      <c r="L29" s="1433"/>
      <c r="M29" s="1432"/>
      <c r="N29" s="1432"/>
      <c r="O29" s="1432"/>
      <c r="S29" s="2314" t="s">
        <v>426</v>
      </c>
      <c r="T29" s="2314"/>
      <c r="U29" s="1436"/>
      <c r="V29" s="2315" t="str">
        <f>IF(TITLE_NUMBER_PR_CHANGE="",IF(TITLE_NUMBER_PR="","",TITLE_NUMBER_PR),TITLE_NUMBER_PR_CHANGE)</f>
        <v>58</v>
      </c>
      <c r="W29" s="2315"/>
      <c r="X29" s="2315"/>
      <c r="Y29" s="2315"/>
      <c r="Z29" s="2315"/>
      <c r="AA29" s="2315"/>
      <c r="AB29" s="390"/>
      <c r="AC29" s="2315" t="str">
        <f>IF(TITLE_NUMBER_PR_CHANGE="",IF(TITLE_NUMBER_PR="","",TITLE_NUMBER_PR),TITLE_NUMBER_PR_CHANGE)</f>
        <v>58</v>
      </c>
      <c r="AD29" s="2315"/>
      <c r="AE29" s="2315"/>
      <c r="AF29" s="2315"/>
      <c r="AG29" s="2315"/>
      <c r="AH29" s="2315"/>
      <c r="AI29" s="390"/>
      <c r="AJ29" s="390"/>
      <c r="AK29" s="344"/>
      <c r="AL29" s="432"/>
      <c r="AM29" s="432"/>
      <c r="AN29" s="432"/>
      <c r="AO29" s="432"/>
      <c r="AP29" s="432"/>
      <c r="AQ29" s="482">
        <v>0</v>
      </c>
    </row>
    <row s="601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http://pravo.gov.ru</v>
      </c>
      <c r="W30" s="2315"/>
      <c r="X30" s="2315"/>
      <c r="Y30" s="2315"/>
      <c r="Z30" s="2315"/>
      <c r="AA30" s="2315"/>
      <c r="AB30" s="390"/>
      <c r="AC30" s="2315" t="str">
        <f>IF(TITLE_IST_PUB_CHANGE="",IF(TITLE_IST_PUB="","",TITLE_IST_PUB),TITLE_IST_PUB_CHANGE)</f>
        <v>http://pravo.gov.ru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6011" customFormat="1" customHeight="1" ht="18.75" hidden="1">
      <c r="A32" s="1432"/>
      <c r="B32" s="1432"/>
      <c r="C32" s="1432"/>
      <c r="D32" s="1432"/>
      <c r="E32" s="1432"/>
      <c r="F32" s="1432"/>
      <c r="G32" s="1432"/>
      <c r="H32" s="1432"/>
      <c r="I32" s="1432"/>
      <c r="J32" s="1432"/>
      <c r="K32" s="1432"/>
      <c r="L32" s="1433"/>
      <c r="M32" s="1432"/>
      <c r="N32" s="1432"/>
      <c r="O32" s="1432"/>
      <c r="S32" s="2314" t="s">
        <v>427</v>
      </c>
      <c r="T32" s="2314"/>
      <c r="U32" s="1436"/>
      <c r="V32" s="2328" t="str">
        <f>IF(TITLE_DATE_PR_CHANGE="",IF(TITLE_DATE_PR="","",TITLE_DATE_PR),TITLE_DATE_PR_CHANGE)</f>
        <v>46008.48059027778</v>
      </c>
      <c r="W32" s="2328"/>
      <c r="X32" s="2328"/>
      <c r="Y32" s="2328"/>
      <c r="Z32" s="2328"/>
      <c r="AA32" s="2328"/>
      <c r="AB32" s="390"/>
      <c r="AC32" s="2328" t="str">
        <f>IF(TITLE_DATE_PR_CHANGE="",IF(TITLE_DATE_PR="","",TITLE_DATE_PR),TITLE_DATE_PR_CHANGE)</f>
        <v>46008.48059027778</v>
      </c>
      <c r="AD32" s="2328"/>
      <c r="AE32" s="2328"/>
      <c r="AF32" s="2328"/>
      <c r="AG32" s="2328"/>
      <c r="AH32" s="2328"/>
      <c r="AI32" s="390"/>
      <c r="AJ32" s="390"/>
      <c r="AK32" s="344"/>
      <c r="AL32" s="432"/>
      <c r="AM32" s="432"/>
      <c r="AN32" s="432"/>
      <c r="AO32" s="432"/>
      <c r="AP32" s="432"/>
      <c r="AQ32" s="482">
        <v>0</v>
      </c>
    </row>
    <row s="6011" customFormat="1" customHeight="1" ht="18.75" hidden="1">
      <c r="A33" s="1432"/>
      <c r="B33" s="1432"/>
      <c r="C33" s="1432"/>
      <c r="D33" s="1432"/>
      <c r="E33" s="1432"/>
      <c r="F33" s="1432"/>
      <c r="G33" s="1432"/>
      <c r="H33" s="1432"/>
      <c r="I33" s="1432"/>
      <c r="J33" s="1432"/>
      <c r="K33" s="1432"/>
      <c r="L33" s="1433"/>
      <c r="M33" s="1432"/>
      <c r="N33" s="1432"/>
      <c r="O33" s="1432"/>
      <c r="S33" s="2314" t="s">
        <v>428</v>
      </c>
      <c r="T33" s="2314"/>
      <c r="U33" s="1436"/>
      <c r="V33" s="2315" t="str">
        <f>IF(TITLE_NUMBER_PR_CHANGE="",IF(TITLE_NUMBER_PR="","",TITLE_NUMBER_PR),TITLE_NUMBER_PR_CHANGE)</f>
        <v>58</v>
      </c>
      <c r="W33" s="2315"/>
      <c r="X33" s="2315"/>
      <c r="Y33" s="2315"/>
      <c r="Z33" s="2315"/>
      <c r="AA33" s="2315"/>
      <c r="AB33" s="390"/>
      <c r="AC33" s="2315" t="str">
        <f>IF(TITLE_NUMBER_PR_CHANGE="",IF(TITLE_NUMBER_PR="","",TITLE_NUMBER_PR),TITLE_NUMBER_PR_CHANGE)</f>
        <v>58</v>
      </c>
      <c r="AD33" s="2315"/>
      <c r="AE33" s="2315"/>
      <c r="AF33" s="2315"/>
      <c r="AG33" s="2315"/>
      <c r="AH33" s="2315"/>
      <c r="AI33" s="390"/>
      <c r="AJ33" s="390"/>
      <c r="AK33" s="344"/>
      <c r="AL33" s="432"/>
      <c r="AM33" s="432"/>
      <c r="AN33" s="432"/>
      <c r="AO33" s="432"/>
      <c r="AP33" s="432"/>
      <c r="AQ33" s="482">
        <v>0</v>
      </c>
    </row>
    <row s="601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429</v>
      </c>
      <c r="AC34" s="390"/>
      <c r="AD34" s="390"/>
      <c r="AE34" s="390"/>
      <c r="AF34" s="390"/>
      <c r="AG34" s="390"/>
      <c r="AH34" s="390"/>
      <c r="AI34" s="342" t="s">
        <v>429</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89</v>
      </c>
      <c r="T37" s="2273" t="s">
        <v>430</v>
      </c>
      <c r="U37" s="365"/>
      <c r="V37" s="2338" t="s">
        <v>431</v>
      </c>
      <c r="W37" s="2339"/>
      <c r="X37" s="2339"/>
      <c r="Y37" s="2339"/>
      <c r="Z37" s="2339"/>
      <c r="AA37" s="2340"/>
      <c r="AB37" s="2341" t="s">
        <v>432</v>
      </c>
      <c r="AC37" s="2338" t="s">
        <v>431</v>
      </c>
      <c r="AD37" s="2339"/>
      <c r="AE37" s="2339"/>
      <c r="AF37" s="2339"/>
      <c r="AG37" s="2339"/>
      <c r="AH37" s="2340"/>
      <c r="AI37" s="2341" t="s">
        <v>433</v>
      </c>
      <c r="AJ37" s="2344" t="s">
        <v>434</v>
      </c>
      <c r="AK37" s="2191"/>
      <c r="AQ37" s="1219">
        <v>14</v>
      </c>
    </row>
    <row customHeight="1" ht="35.699999999999996">
      <c r="Q38" s="440"/>
      <c r="R38" s="440"/>
      <c r="S38" s="2337"/>
      <c r="T38" s="2273"/>
      <c r="U38" s="1095"/>
      <c r="V38" s="1547" t="s">
        <v>490</v>
      </c>
      <c r="W38" s="2326" t="s">
        <v>437</v>
      </c>
      <c r="X38" s="2327"/>
      <c r="Y38" s="2326" t="s">
        <v>438</v>
      </c>
      <c r="Z38" s="2333"/>
      <c r="AA38" s="2327"/>
      <c r="AB38" s="2342"/>
      <c r="AC38" s="1547" t="s">
        <v>490</v>
      </c>
      <c r="AD38" s="2326" t="s">
        <v>437</v>
      </c>
      <c r="AE38" s="2327"/>
      <c r="AF38" s="2326" t="s">
        <v>438</v>
      </c>
      <c r="AG38" s="2333"/>
      <c r="AH38" s="2327"/>
      <c r="AI38" s="2342"/>
      <c r="AJ38" s="2345"/>
      <c r="AK38" s="2191"/>
      <c r="AQ38" s="1219">
        <v>34</v>
      </c>
    </row>
    <row customHeight="1" ht="90.3">
      <c r="A39" s="1434"/>
      <c r="B39" s="1434" t="s">
        <v>136</v>
      </c>
      <c r="C39" s="1434" t="s">
        <v>137</v>
      </c>
      <c r="D39" s="1434" t="s">
        <v>138</v>
      </c>
      <c r="E39" s="1428" t="s">
        <v>439</v>
      </c>
      <c r="F39" s="1428" t="s">
        <v>440</v>
      </c>
      <c r="G39" s="1428" t="s">
        <v>441</v>
      </c>
      <c r="H39" s="1428"/>
      <c r="I39" s="1428" t="s">
        <v>491</v>
      </c>
      <c r="J39" s="1428" t="s">
        <v>444</v>
      </c>
      <c r="K39" s="1428" t="s">
        <v>492</v>
      </c>
      <c r="L39" s="1428" t="s">
        <v>420</v>
      </c>
      <c r="Q39" s="440"/>
      <c r="R39" s="440"/>
      <c r="S39" s="2337"/>
      <c r="T39" s="2273"/>
      <c r="U39" s="366"/>
      <c r="V39" s="1547" t="s">
        <v>519</v>
      </c>
      <c r="W39" s="1286" t="s">
        <v>520</v>
      </c>
      <c r="X39" s="1286" t="s">
        <v>495</v>
      </c>
      <c r="Y39" s="1553" t="s">
        <v>448</v>
      </c>
      <c r="Z39" s="2334" t="s">
        <v>449</v>
      </c>
      <c r="AA39" s="2335"/>
      <c r="AB39" s="2343"/>
      <c r="AC39" s="1547" t="s">
        <v>519</v>
      </c>
      <c r="AD39" s="1286" t="s">
        <v>520</v>
      </c>
      <c r="AE39" s="1286" t="s">
        <v>495</v>
      </c>
      <c r="AF39" s="1553" t="s">
        <v>448</v>
      </c>
      <c r="AG39" s="2334" t="s">
        <v>449</v>
      </c>
      <c r="AH39" s="2335"/>
      <c r="AI39" s="2343"/>
      <c r="AJ39" s="2346"/>
      <c r="AK39" s="2191"/>
      <c r="AQ39" s="1219">
        <v>86</v>
      </c>
    </row>
    <row s="3710"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110</v>
      </c>
      <c r="T40" s="1319" t="s">
        <v>111</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275</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124</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275</v>
      </c>
      <c r="B42" s="1427" t="s">
        <v>276</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275</v>
      </c>
      <c r="B43" s="1427" t="s">
        <v>276</v>
      </c>
      <c r="C43" s="1427" t="s">
        <v>277</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518</v>
      </c>
      <c r="AM43" s="564"/>
      <c r="AN43" s="564" t="str">
        <f>IF(T43="","",T43)</f>
        <v>Наименование централизованной системы водоотведения</v>
      </c>
      <c r="AO43" s="564"/>
      <c r="AP43" s="564"/>
      <c r="AQ43" s="1219">
        <v>23</v>
      </c>
    </row>
    <row customHeight="1" ht="24">
      <c r="A44" s="1427" t="s">
        <v>275</v>
      </c>
      <c r="B44" s="1427" t="s">
        <v>276</v>
      </c>
      <c r="C44" s="1427" t="s">
        <v>277</v>
      </c>
      <c r="D44" s="1427" t="s">
        <v>522</v>
      </c>
      <c r="E44" s="2323"/>
      <c r="F44" s="2323"/>
      <c r="G44" s="2323"/>
      <c r="H44" s="2323"/>
      <c r="I44" s="2320" t="str">
        <f>S43&amp;".1"</f>
        <v>...1</v>
      </c>
      <c r="J44" s="1427"/>
      <c r="K44" s="1427"/>
      <c r="L44" s="1428"/>
      <c r="P44" s="2321">
        <v>1</v>
      </c>
      <c r="Q44" s="1545"/>
      <c r="R44" s="420"/>
      <c r="S44" s="1557" t="str">
        <f>$I44</f>
        <v>...1</v>
      </c>
      <c r="T44" s="349" t="s">
        <v>484</v>
      </c>
      <c r="U44" s="364"/>
      <c r="V44" s="2414"/>
      <c r="W44" s="2415"/>
      <c r="X44" s="2415"/>
      <c r="Y44" s="2415"/>
      <c r="Z44" s="2415"/>
      <c r="AA44" s="2415"/>
      <c r="AB44" s="2416"/>
      <c r="AC44" s="2417"/>
      <c r="AD44" s="2418"/>
      <c r="AE44" s="2418"/>
      <c r="AF44" s="2418"/>
      <c r="AG44" s="2418"/>
      <c r="AH44" s="2418"/>
      <c r="AI44" s="2418"/>
      <c r="AJ44" s="2419"/>
      <c r="AK44" s="1322" t="s">
        <v>485</v>
      </c>
      <c r="AM44" s="564"/>
      <c r="AN44" s="564" t="str">
        <f>IF(T44="","",T44)</f>
        <v>Наименование признака дифференциации</v>
      </c>
      <c r="AO44" s="564"/>
      <c r="AP44" s="564"/>
      <c r="AQ44" s="1219">
        <v>23</v>
      </c>
    </row>
    <row customHeight="1" ht="24">
      <c r="A45" s="1427" t="s">
        <v>275</v>
      </c>
      <c r="B45" s="1427" t="s">
        <v>276</v>
      </c>
      <c r="C45" s="1427" t="s">
        <v>277</v>
      </c>
      <c r="D45" s="1427" t="s">
        <v>522</v>
      </c>
      <c r="E45" s="2323"/>
      <c r="F45" s="2323"/>
      <c r="G45" s="2323"/>
      <c r="H45" s="2323"/>
      <c r="I45" s="2350"/>
      <c r="J45" s="2320" t="str">
        <f>I44&amp;".1"</f>
        <v>...1.1</v>
      </c>
      <c r="K45" s="1427"/>
      <c r="L45" s="1428" t="s">
        <v>410</v>
      </c>
      <c r="P45" s="2321"/>
      <c r="Q45" s="2321">
        <v>1</v>
      </c>
      <c r="R45" s="421"/>
      <c r="S45" s="1557" t="str">
        <f>$J45</f>
        <v>...1.1</v>
      </c>
      <c r="T45" s="350" t="s">
        <v>411</v>
      </c>
      <c r="U45" s="364"/>
      <c r="V45" s="2309"/>
      <c r="W45" s="2310"/>
      <c r="X45" s="2310"/>
      <c r="Y45" s="2310"/>
      <c r="Z45" s="2310"/>
      <c r="AA45" s="2310"/>
      <c r="AB45" s="2311"/>
      <c r="AC45" s="2309"/>
      <c r="AD45" s="2310"/>
      <c r="AE45" s="2310"/>
      <c r="AF45" s="2310"/>
      <c r="AG45" s="2310"/>
      <c r="AH45" s="2310"/>
      <c r="AI45" s="2310"/>
      <c r="AJ45" s="2311"/>
      <c r="AK45" s="1371" t="s">
        <v>486</v>
      </c>
      <c r="AM45" s="564"/>
      <c r="AN45" s="564" t="str">
        <f>IF(T45="","",T45)</f>
        <v>Группа потребителей</v>
      </c>
      <c r="AO45" s="564"/>
      <c r="AP45" s="564"/>
      <c r="AQ45" s="1219">
        <v>23</v>
      </c>
    </row>
    <row customHeight="1" ht="24">
      <c r="A46" s="1427" t="s">
        <v>275</v>
      </c>
      <c r="B46" s="1427" t="s">
        <v>276</v>
      </c>
      <c r="C46" s="1427" t="s">
        <v>277</v>
      </c>
      <c r="D46" s="1427" t="s">
        <v>522</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62</v>
      </c>
      <c r="AA46" s="2331"/>
      <c r="AB46" s="2332" t="s">
        <v>62</v>
      </c>
      <c r="AC46" s="815"/>
      <c r="AD46" s="815"/>
      <c r="AE46" s="1321"/>
      <c r="AF46" s="2329"/>
      <c r="AG46" s="2171" t="s">
        <v>62</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275</v>
      </c>
      <c r="B47" s="1427" t="s">
        <v>276</v>
      </c>
      <c r="C47" s="1427" t="s">
        <v>277</v>
      </c>
      <c r="D47" s="1427" t="s">
        <v>522</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275</v>
      </c>
      <c r="B48" s="1427" t="s">
        <v>276</v>
      </c>
      <c r="C48" s="1427" t="s">
        <v>277</v>
      </c>
      <c r="D48" s="1427" t="s">
        <v>522</v>
      </c>
      <c r="E48" s="2323"/>
      <c r="F48" s="2323"/>
      <c r="G48" s="2323"/>
      <c r="H48" s="2323"/>
      <c r="I48" s="2350"/>
      <c r="J48" s="2320"/>
      <c r="K48" s="1427"/>
      <c r="L48" s="1428"/>
      <c r="P48" s="2321"/>
      <c r="Q48" s="2321"/>
      <c r="R48" s="420"/>
      <c r="S48" s="1342"/>
      <c r="T48" s="351" t="s">
        <v>487</v>
      </c>
      <c r="U48" s="431"/>
      <c r="V48" s="431"/>
      <c r="W48" s="431"/>
      <c r="X48" s="431"/>
      <c r="Y48" s="431"/>
      <c r="Z48" s="431"/>
      <c r="AA48" s="431"/>
      <c r="AB48" s="431"/>
      <c r="AC48" s="431"/>
      <c r="AD48" s="431"/>
      <c r="AE48" s="431"/>
      <c r="AF48" s="431"/>
      <c r="AG48" s="431"/>
      <c r="AH48" s="431"/>
      <c r="AI48" s="431"/>
      <c r="AJ48" s="431"/>
      <c r="AK48" s="1322" t="s">
        <v>488</v>
      </c>
      <c r="AM48" s="564"/>
      <c r="AN48" s="564" t="str">
        <f>IF(T48="","",T48)</f>
        <v>Добавить значение признака дифференциации</v>
      </c>
      <c r="AO48" s="564"/>
      <c r="AP48" s="564"/>
      <c r="AQ48" s="1219">
        <v>20</v>
      </c>
    </row>
    <row customHeight="1" ht="22.049999999999997">
      <c r="A49" s="1427" t="s">
        <v>275</v>
      </c>
      <c r="B49" s="1427" t="s">
        <v>276</v>
      </c>
      <c r="C49" s="1427" t="s">
        <v>277</v>
      </c>
      <c r="D49" s="1427" t="s">
        <v>522</v>
      </c>
      <c r="E49" s="2323"/>
      <c r="F49" s="2323"/>
      <c r="G49" s="2323"/>
      <c r="H49" s="2323"/>
      <c r="I49" s="2320"/>
      <c r="J49" s="1427"/>
      <c r="K49" s="1427"/>
      <c r="L49" s="1428"/>
      <c r="P49" s="2321"/>
      <c r="Q49" s="1545"/>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275</v>
      </c>
      <c r="B50" s="1427" t="s">
        <v>276</v>
      </c>
      <c r="C50" s="1427" t="s">
        <v>277</v>
      </c>
      <c r="D50" s="1427" t="s">
        <v>522</v>
      </c>
      <c r="E50" s="2323"/>
      <c r="F50" s="2323"/>
      <c r="G50" s="2323"/>
      <c r="H50" s="2322"/>
      <c r="I50" s="1427"/>
      <c r="J50" s="1427"/>
      <c r="K50" s="1427"/>
      <c r="L50" s="1428"/>
      <c r="M50" s="1429"/>
      <c r="N50" s="1429"/>
      <c r="O50" s="601"/>
      <c r="P50" s="424"/>
      <c r="Q50" s="439"/>
      <c r="R50" s="419"/>
      <c r="S50" s="1342"/>
      <c r="T50" s="436" t="s">
        <v>489</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976" customFormat="1" customHeight="1" ht="0">
      <c r="A51" s="1407" t="s">
        <v>275</v>
      </c>
      <c r="B51" s="1407" t="s">
        <v>276</v>
      </c>
      <c r="C51" s="1378"/>
      <c r="D51" s="1378"/>
      <c r="E51" s="2323"/>
      <c r="F51" s="2322"/>
      <c r="G51" s="1378"/>
      <c r="H51" s="1378"/>
      <c r="I51" s="1378"/>
      <c r="J51" s="1378"/>
      <c r="K51" s="1378"/>
      <c r="L51" s="1558"/>
      <c r="M51" s="1385"/>
      <c r="N51" s="1385"/>
      <c r="P51" s="1380"/>
      <c r="Q51" s="1381"/>
      <c r="R51" s="1380"/>
      <c r="S51" s="1386"/>
      <c r="T51" s="1389" t="s">
        <v>255</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976" customFormat="1" customHeight="1" ht="0">
      <c r="A52" s="1407" t="s">
        <v>275</v>
      </c>
      <c r="B52" s="1407"/>
      <c r="C52" s="1407"/>
      <c r="D52" s="1407"/>
      <c r="E52" s="2322"/>
      <c r="F52" s="1407"/>
      <c r="G52" s="1407"/>
      <c r="H52" s="1407"/>
      <c r="I52" s="1407"/>
      <c r="J52" s="1407"/>
      <c r="K52" s="1407"/>
      <c r="L52" s="1410"/>
      <c r="M52" s="1385"/>
      <c r="N52" s="1385"/>
      <c r="O52" s="582"/>
      <c r="P52" s="444"/>
      <c r="Q52" s="1408"/>
      <c r="R52" s="444"/>
      <c r="S52" s="1386"/>
      <c r="T52" s="1389" t="s">
        <v>256</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976"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257</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83</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3D6DB-810B-A3EB-57CC-0.CC50157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16" width="11.57421875" hidden="1" customWidth="1"/>
    <col min="2" max="2" style="5416" width="11.00390625" hidden="1" customWidth="1"/>
    <col min="3" max="3" style="5416" width="10.57421875" hidden="1"/>
    <col min="4" max="4" style="5416" width="12.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4339" width="3.7109375" hidden="1" customWidth="1"/>
    <col min="17" max="17" style="3609" width="3.7109375" hidden="1" customWidth="1"/>
    <col min="18" max="18" style="5437" width="3.00390625" customWidth="1"/>
    <col min="19" max="19" style="6125" width="12.00390625" customWidth="1"/>
    <col min="20" max="20" style="5468" width="31.00390625" customWidth="1"/>
    <col min="21" max="21" style="5468" width="0.140625" customWidth="1"/>
    <col min="22" max="25" style="5468" width="21.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3.7109375" customWidth="1"/>
    <col min="31" max="32" style="5468" width="3.00390625" customWidth="1"/>
    <col min="33" max="33" style="5468" width="24.00390625" customWidth="1"/>
    <col min="34" max="34" style="5468" width="3.7109375" customWidth="1"/>
    <col min="35" max="36" style="5468" width="3.00390625" customWidth="1"/>
    <col min="37" max="37" style="5468" width="24.00390625" customWidth="1"/>
    <col min="38" max="38" style="5468" width="3.7109375" customWidth="1"/>
    <col min="39" max="40" style="5468" width="3.00390625" customWidth="1"/>
    <col min="41" max="41" style="5468" width="18.00390625" customWidth="1"/>
    <col min="42" max="42" style="5468" width="3.7109375" customWidth="1"/>
    <col min="43" max="44" style="5468" width="3.00390625" customWidth="1"/>
    <col min="45" max="45" style="5468" width="18.00390625" customWidth="1"/>
    <col min="46" max="49" style="5468" width="21.00390625" customWidth="1"/>
    <col min="50" max="50" style="5468" width="11.00390625" customWidth="1"/>
    <col min="51" max="51" style="5468" width="3.7109375" customWidth="1"/>
    <col min="52" max="52" style="5468" width="11.00390625" customWidth="1"/>
    <col min="53" max="53" style="5468" width="8.57421875" hidden="1" customWidth="1"/>
    <col min="54" max="54" style="5468" width="4.00390625" customWidth="1"/>
    <col min="55" max="55" style="5468" width="115.00390625" customWidth="1"/>
    <col min="56" max="60" style="4976" width="10.00390625" customWidth="1"/>
    <col min="61" max="61" style="546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124</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517</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518</v>
      </c>
      <c r="BE4" s="564"/>
      <c r="BF4" s="564" t="str">
        <f>IF(T4="","",T4)</f>
        <v>Наименование централизованной системы водоотведения</v>
      </c>
      <c r="BG4" s="564"/>
      <c r="BH4" s="564"/>
      <c r="BI4" s="1219">
        <v>0</v>
      </c>
    </row>
    <row s="4976"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976" customFormat="1" customHeight="1" ht="14.25" hidden="1">
      <c r="A6" s="1407"/>
      <c r="B6" s="1407"/>
      <c r="C6" s="1407"/>
      <c r="D6" s="1407"/>
      <c r="E6" s="2323"/>
      <c r="F6" s="2323"/>
      <c r="G6" s="2323"/>
      <c r="H6" s="2323"/>
      <c r="I6" s="2320" t="str">
        <f>S5&amp;".1"</f>
        <v>.1</v>
      </c>
      <c r="J6" s="1407"/>
      <c r="K6" s="1407"/>
      <c r="L6" s="1410" t="s">
        <v>407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976"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62</v>
      </c>
      <c r="AB8" s="1798"/>
      <c r="AC8" s="1533" t="s">
        <v>62</v>
      </c>
      <c r="AD8" s="2249" t="s">
        <v>62</v>
      </c>
      <c r="AE8" s="2390"/>
      <c r="AF8" s="2269">
        <v>1</v>
      </c>
      <c r="AG8" s="2427"/>
      <c r="AH8" s="2171" t="s">
        <v>62</v>
      </c>
      <c r="AI8" s="2390"/>
      <c r="AJ8" s="2269">
        <v>1</v>
      </c>
      <c r="AK8" s="2391" t="s">
        <v>28</v>
      </c>
      <c r="AL8" s="2171" t="s">
        <v>62</v>
      </c>
      <c r="AM8" s="2256"/>
      <c r="AN8" s="2269">
        <v>1</v>
      </c>
      <c r="AO8" s="2421"/>
      <c r="AP8" s="2422" t="s">
        <v>62</v>
      </c>
      <c r="AQ8" s="375"/>
      <c r="AR8" s="1550">
        <v>1</v>
      </c>
      <c r="AS8" s="1556" t="s">
        <v>28</v>
      </c>
      <c r="AT8" s="815"/>
      <c r="AU8" s="1321"/>
      <c r="AV8" s="815"/>
      <c r="AW8" s="1321"/>
      <c r="AX8" s="1798"/>
      <c r="AY8" s="1533" t="s">
        <v>62</v>
      </c>
      <c r="AZ8" s="1798"/>
      <c r="BA8" s="1533" t="s">
        <v>62</v>
      </c>
      <c r="BB8" s="1412"/>
      <c r="BC8" s="2317" t="s">
        <v>502</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503</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523</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524</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506</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469</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976"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976"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976"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976"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255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976"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256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62</v>
      </c>
      <c r="AZ20" s="1800"/>
      <c r="BA20" s="1549" t="s">
        <v>62</v>
      </c>
      <c r="BI20" s="1219">
        <v>0</v>
      </c>
    </row>
    <row customHeight="1" ht="14.25" hidden="1">
      <c r="BD21" s="560"/>
      <c r="BE21" s="560"/>
      <c r="BF21" s="560"/>
      <c r="BG21" s="560"/>
      <c r="BH21" s="560"/>
      <c r="BI21" s="1219">
        <v>0</v>
      </c>
    </row>
    <row customHeight="1" ht="14.25" hidden="1">
      <c r="O22" s="1431" t="s">
        <v>419</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842" customFormat="1" customHeight="1" ht="14.25" hidden="1">
      <c r="M24" s="1572"/>
      <c r="N24" s="1572"/>
      <c r="O24" s="1573" t="s">
        <v>420</v>
      </c>
      <c r="P24" s="1572"/>
      <c r="Q24" s="1574"/>
      <c r="R24" s="1574"/>
      <c r="AA24" s="1571" t="s">
        <v>422</v>
      </c>
      <c r="AC24" s="1571" t="s">
        <v>423</v>
      </c>
      <c r="AD24" s="1571" t="s">
        <v>470</v>
      </c>
      <c r="AH24" s="1571" t="s">
        <v>470</v>
      </c>
      <c r="AK24" s="1571" t="s">
        <v>507</v>
      </c>
      <c r="AL24" s="1571" t="s">
        <v>470</v>
      </c>
      <c r="AP24" s="1571" t="s">
        <v>470</v>
      </c>
      <c r="AY24" s="1571" t="s">
        <v>422</v>
      </c>
      <c r="BA24" s="1571" t="s">
        <v>423</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Нарьян-Марское МУ ПОКиТС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601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УГРЦТ НАО</v>
      </c>
      <c r="W31" s="2315"/>
      <c r="X31" s="2315"/>
      <c r="Y31" s="2315"/>
      <c r="Z31" s="2315"/>
      <c r="AA31" s="2315"/>
      <c r="AB31" s="2315"/>
      <c r="AC31" s="390"/>
      <c r="AD31" s="2315" t="str">
        <f>IF(TITLE_NAME_OR_PR_CHANGE="",IF(TITLE_NAME_OR_PR="","",TITLE_NAME_OR_PR),TITLE_NAME_OR_PR_CHANGE)</f>
        <v>УГРЦТ НАО</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6011" customFormat="1" customHeight="1" ht="18.75">
      <c r="A32" s="1432"/>
      <c r="B32" s="1432"/>
      <c r="C32" s="1432"/>
      <c r="D32" s="1432"/>
      <c r="E32" s="1432"/>
      <c r="F32" s="1432"/>
      <c r="G32" s="1432"/>
      <c r="H32" s="1432"/>
      <c r="I32" s="1432"/>
      <c r="J32" s="1432"/>
      <c r="K32" s="1432"/>
      <c r="L32" s="1433"/>
      <c r="M32" s="1432"/>
      <c r="N32" s="1432"/>
      <c r="O32" s="1432"/>
      <c r="P32" s="1432"/>
      <c r="Q32" s="1432"/>
      <c r="S32" s="2314" t="s">
        <v>425</v>
      </c>
      <c r="T32" s="2314"/>
      <c r="U32" s="1436"/>
      <c r="V32" s="2328" t="str">
        <f>IF(TITLE_DATE_PR_CHANGE="",IF(TITLE_DATE_PR="","",TITLE_DATE_PR),TITLE_DATE_PR_CHANGE)</f>
        <v>46008.48059027778</v>
      </c>
      <c r="W32" s="2328"/>
      <c r="X32" s="2328"/>
      <c r="Y32" s="2328"/>
      <c r="Z32" s="2328"/>
      <c r="AA32" s="2328"/>
      <c r="AB32" s="2328"/>
      <c r="AC32" s="390"/>
      <c r="AD32" s="2328" t="str">
        <f>IF(TITLE_DATE_PR_CHANGE="",IF(TITLE_DATE_PR="","",TITLE_DATE_PR),TITLE_DATE_PR_CHANGE)</f>
        <v>46008.48059027778</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6011" customFormat="1" customHeight="1" ht="18.75">
      <c r="A33" s="1432"/>
      <c r="B33" s="1432"/>
      <c r="C33" s="1432"/>
      <c r="D33" s="1432"/>
      <c r="E33" s="1432"/>
      <c r="F33" s="1432"/>
      <c r="G33" s="1432"/>
      <c r="H33" s="1432"/>
      <c r="I33" s="1432"/>
      <c r="J33" s="1432"/>
      <c r="K33" s="1432"/>
      <c r="L33" s="1433"/>
      <c r="M33" s="1432"/>
      <c r="N33" s="1432"/>
      <c r="O33" s="1432"/>
      <c r="P33" s="1432"/>
      <c r="Q33" s="1432"/>
      <c r="S33" s="2314" t="s">
        <v>426</v>
      </c>
      <c r="T33" s="2314"/>
      <c r="U33" s="1436"/>
      <c r="V33" s="2315" t="str">
        <f>IF(TITLE_NUMBER_PR_CHANGE="",IF(TITLE_NUMBER_PR="","",TITLE_NUMBER_PR),TITLE_NUMBER_PR_CHANGE)</f>
        <v>58</v>
      </c>
      <c r="W33" s="2315"/>
      <c r="X33" s="2315"/>
      <c r="Y33" s="2315"/>
      <c r="Z33" s="2315"/>
      <c r="AA33" s="2315"/>
      <c r="AB33" s="2315"/>
      <c r="AC33" s="390"/>
      <c r="AD33" s="2315" t="str">
        <f>IF(TITLE_NUMBER_PR_CHANGE="",IF(TITLE_NUMBER_PR="","",TITLE_NUMBER_PR),TITLE_NUMBER_PR_CHANGE)</f>
        <v>58</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601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http://pravo.gov.ru</v>
      </c>
      <c r="W34" s="2315"/>
      <c r="X34" s="2315"/>
      <c r="Y34" s="2315"/>
      <c r="Z34" s="2315"/>
      <c r="AA34" s="2315"/>
      <c r="AB34" s="2315"/>
      <c r="AC34" s="390"/>
      <c r="AD34" s="2315" t="str">
        <f>IF(TITLE_IST_PUB_CHANGE="",IF(TITLE_IST_PUB="","",TITLE_IST_PUB),TITLE_IST_PUB_CHANGE)</f>
        <v>http://pravo.gov.ru</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601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425</v>
      </c>
      <c r="T36" s="2314"/>
      <c r="U36" s="1436"/>
      <c r="V36" s="2328" t="str">
        <f>IF(TITLE_DATE_PR_CHANGE="",IF(TITLE_DATE_PR="","",TITLE_DATE_PR),TITLE_DATE_PR_CHANGE)</f>
        <v>46008.48059027778</v>
      </c>
      <c r="W36" s="2328"/>
      <c r="X36" s="2328"/>
      <c r="Y36" s="2328"/>
      <c r="Z36" s="2328"/>
      <c r="AA36" s="2328"/>
      <c r="AB36" s="2328"/>
      <c r="AC36" s="390"/>
      <c r="AD36" s="2328" t="str">
        <f>IF(TITLE_DATE_PR_CHANGE="",IF(TITLE_DATE_PR="","",TITLE_DATE_PR),TITLE_DATE_PR_CHANGE)</f>
        <v>46008.48059027778</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601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426</v>
      </c>
      <c r="T37" s="2314"/>
      <c r="U37" s="1436"/>
      <c r="V37" s="2315" t="str">
        <f>IF(TITLE_NUMBER_PR_CHANGE="",IF(TITLE_NUMBER_PR="","",TITLE_NUMBER_PR),TITLE_NUMBER_PR_CHANGE)</f>
        <v>58</v>
      </c>
      <c r="W37" s="2315"/>
      <c r="X37" s="2315"/>
      <c r="Y37" s="2315"/>
      <c r="Z37" s="2315"/>
      <c r="AA37" s="2315"/>
      <c r="AB37" s="2315"/>
      <c r="AC37" s="390"/>
      <c r="AD37" s="2315" t="str">
        <f>IF(TITLE_NUMBER_PR_CHANGE="",IF(TITLE_NUMBER_PR="","",TITLE_NUMBER_PR),TITLE_NUMBER_PR_CHANGE)</f>
        <v>58</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601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429</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429</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89</v>
      </c>
      <c r="T41" s="2273" t="s">
        <v>508</v>
      </c>
      <c r="U41" s="365"/>
      <c r="V41" s="2338" t="s">
        <v>431</v>
      </c>
      <c r="W41" s="2339"/>
      <c r="X41" s="2339"/>
      <c r="Y41" s="2339"/>
      <c r="Z41" s="2339"/>
      <c r="AA41" s="2339"/>
      <c r="AB41" s="2340"/>
      <c r="AC41" s="2341" t="s">
        <v>432</v>
      </c>
      <c r="AD41" s="2392" t="s">
        <v>525</v>
      </c>
      <c r="AE41" s="2355"/>
      <c r="AF41" s="2355"/>
      <c r="AG41" s="2393"/>
      <c r="AH41" s="2392" t="s">
        <v>526</v>
      </c>
      <c r="AI41" s="2355"/>
      <c r="AJ41" s="2355"/>
      <c r="AK41" s="2393"/>
      <c r="AL41" s="2392" t="s">
        <v>527</v>
      </c>
      <c r="AM41" s="2355"/>
      <c r="AN41" s="2355"/>
      <c r="AO41" s="2393"/>
      <c r="AP41" s="2392" t="s">
        <v>512</v>
      </c>
      <c r="AQ41" s="2355"/>
      <c r="AR41" s="2355"/>
      <c r="AS41" s="2393"/>
      <c r="AT41" s="2338" t="s">
        <v>431</v>
      </c>
      <c r="AU41" s="2339"/>
      <c r="AV41" s="2339"/>
      <c r="AW41" s="2339"/>
      <c r="AX41" s="2339"/>
      <c r="AY41" s="2339"/>
      <c r="AZ41" s="2340"/>
      <c r="BA41" s="2341" t="s">
        <v>432</v>
      </c>
      <c r="BB41" s="2344" t="s">
        <v>434</v>
      </c>
      <c r="BC41" s="2191"/>
      <c r="BI41" s="1219">
        <v>14</v>
      </c>
    </row>
    <row customHeight="1" ht="35.699999999999996">
      <c r="Q42" s="355"/>
      <c r="R42" s="440"/>
      <c r="S42" s="2337"/>
      <c r="T42" s="2273"/>
      <c r="U42" s="1095"/>
      <c r="V42" s="2256" t="s">
        <v>513</v>
      </c>
      <c r="W42" s="2257"/>
      <c r="X42" s="2256" t="s">
        <v>514</v>
      </c>
      <c r="Y42" s="2257"/>
      <c r="Z42" s="2358" t="s">
        <v>515</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528</v>
      </c>
      <c r="AU42" s="2257"/>
      <c r="AV42" s="2256" t="s">
        <v>529</v>
      </c>
      <c r="AW42" s="2257"/>
      <c r="AX42" s="2358" t="s">
        <v>515</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136</v>
      </c>
      <c r="C44" s="1434" t="s">
        <v>137</v>
      </c>
      <c r="D44" s="1434" t="s">
        <v>138</v>
      </c>
      <c r="E44" s="1428" t="s">
        <v>439</v>
      </c>
      <c r="F44" s="1428" t="s">
        <v>440</v>
      </c>
      <c r="G44" s="1428" t="s">
        <v>441</v>
      </c>
      <c r="H44" s="1428" t="s">
        <v>442</v>
      </c>
      <c r="I44" s="1428" t="s">
        <v>443</v>
      </c>
      <c r="J44" s="1428" t="s">
        <v>444</v>
      </c>
      <c r="K44" s="1428" t="s">
        <v>445</v>
      </c>
      <c r="L44" s="1428" t="s">
        <v>420</v>
      </c>
      <c r="Q44" s="355"/>
      <c r="R44" s="440"/>
      <c r="S44" s="2337"/>
      <c r="T44" s="2273"/>
      <c r="U44" s="366"/>
      <c r="V44" s="1543" t="s">
        <v>479</v>
      </c>
      <c r="W44" s="1543" t="s">
        <v>480</v>
      </c>
      <c r="X44" s="1543" t="s">
        <v>479</v>
      </c>
      <c r="Y44" s="1543" t="s">
        <v>480</v>
      </c>
      <c r="Z44" s="1553" t="s">
        <v>448</v>
      </c>
      <c r="AA44" s="2334" t="s">
        <v>449</v>
      </c>
      <c r="AB44" s="2335"/>
      <c r="AC44" s="2343"/>
      <c r="AD44" s="2397"/>
      <c r="AE44" s="2398"/>
      <c r="AF44" s="2398"/>
      <c r="AG44" s="2399"/>
      <c r="AH44" s="2397"/>
      <c r="AI44" s="2398"/>
      <c r="AJ44" s="2398"/>
      <c r="AK44" s="2399"/>
      <c r="AL44" s="2397"/>
      <c r="AM44" s="2398"/>
      <c r="AN44" s="2398"/>
      <c r="AO44" s="2399"/>
      <c r="AP44" s="2397"/>
      <c r="AQ44" s="2398"/>
      <c r="AR44" s="2398"/>
      <c r="AS44" s="2399"/>
      <c r="AT44" s="1543" t="s">
        <v>479</v>
      </c>
      <c r="AU44" s="1543" t="s">
        <v>480</v>
      </c>
      <c r="AV44" s="1543" t="s">
        <v>479</v>
      </c>
      <c r="AW44" s="1543" t="s">
        <v>480</v>
      </c>
      <c r="AX44" s="1553" t="s">
        <v>448</v>
      </c>
      <c r="AY44" s="2334" t="s">
        <v>449</v>
      </c>
      <c r="AZ44" s="2335"/>
      <c r="BA44" s="2343"/>
      <c r="BB44" s="2346"/>
      <c r="BC44" s="2191"/>
      <c r="BI44" s="1219">
        <v>14</v>
      </c>
    </row>
    <row s="3710"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280</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124</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280</v>
      </c>
      <c r="B47" s="1427" t="s">
        <v>281</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35.699999999999996">
      <c r="A48" s="1427" t="s">
        <v>280</v>
      </c>
      <c r="B48" s="1427" t="s">
        <v>281</v>
      </c>
      <c r="C48" s="1427" t="s">
        <v>282</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517</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518</v>
      </c>
      <c r="BE48" s="564"/>
      <c r="BF48" s="564" t="str">
        <f>IF(T48="","",T48)</f>
        <v>Наименование централизованной системы водоотведения</v>
      </c>
      <c r="BG48" s="564"/>
      <c r="BH48" s="564"/>
      <c r="BI48" s="1219">
        <v>34</v>
      </c>
    </row>
    <row s="4976" customFormat="1" customHeight="1" ht="0">
      <c r="A49" s="1407" t="s">
        <v>280</v>
      </c>
      <c r="B49" s="1407" t="s">
        <v>281</v>
      </c>
      <c r="C49" s="1407" t="s">
        <v>282</v>
      </c>
      <c r="D49" s="1407" t="s">
        <v>530</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976" customFormat="1" customHeight="1" ht="0">
      <c r="A50" s="1407" t="s">
        <v>280</v>
      </c>
      <c r="B50" s="1407" t="s">
        <v>281</v>
      </c>
      <c r="C50" s="1407" t="s">
        <v>282</v>
      </c>
      <c r="D50" s="1407" t="s">
        <v>530</v>
      </c>
      <c r="E50" s="2323"/>
      <c r="F50" s="2323"/>
      <c r="G50" s="2323"/>
      <c r="H50" s="2323"/>
      <c r="I50" s="2320" t="str">
        <f>S49&amp;".1"</f>
        <v>.1</v>
      </c>
      <c r="J50" s="1407"/>
      <c r="K50" s="1407"/>
      <c r="L50" s="1410" t="s">
        <v>407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976" customFormat="1" customHeight="1" ht="0">
      <c r="A51" s="1407" t="s">
        <v>280</v>
      </c>
      <c r="B51" s="1407" t="s">
        <v>281</v>
      </c>
      <c r="C51" s="1407" t="s">
        <v>282</v>
      </c>
      <c r="D51" s="1407" t="s">
        <v>530</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280</v>
      </c>
      <c r="B52" s="1427" t="s">
        <v>281</v>
      </c>
      <c r="C52" s="1427" t="s">
        <v>282</v>
      </c>
      <c r="D52" s="1427" t="s">
        <v>530</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62</v>
      </c>
      <c r="AB52" s="1798"/>
      <c r="AC52" s="1533" t="s">
        <v>62</v>
      </c>
      <c r="AD52" s="2249" t="s">
        <v>62</v>
      </c>
      <c r="AE52" s="2390"/>
      <c r="AF52" s="2269">
        <v>1</v>
      </c>
      <c r="AG52" s="2427"/>
      <c r="AH52" s="2171" t="s">
        <v>62</v>
      </c>
      <c r="AI52" s="2390"/>
      <c r="AJ52" s="2269">
        <v>1</v>
      </c>
      <c r="AK52" s="2391" t="s">
        <v>28</v>
      </c>
      <c r="AL52" s="2171" t="s">
        <v>62</v>
      </c>
      <c r="AM52" s="2256"/>
      <c r="AN52" s="2269">
        <v>1</v>
      </c>
      <c r="AO52" s="2421"/>
      <c r="AP52" s="2422" t="s">
        <v>62</v>
      </c>
      <c r="AQ52" s="375"/>
      <c r="AR52" s="1550">
        <v>1</v>
      </c>
      <c r="AS52" s="1556" t="s">
        <v>28</v>
      </c>
      <c r="AT52" s="815"/>
      <c r="AU52" s="1321"/>
      <c r="AV52" s="815"/>
      <c r="AW52" s="1321"/>
      <c r="AX52" s="1798"/>
      <c r="AY52" s="1533" t="s">
        <v>62</v>
      </c>
      <c r="AZ52" s="1798"/>
      <c r="BA52" s="1533" t="s">
        <v>62</v>
      </c>
      <c r="BB52" s="1412"/>
      <c r="BC52" s="2317" t="s">
        <v>502</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503</v>
      </c>
      <c r="AT53" s="1457"/>
      <c r="AU53" s="1560"/>
      <c r="AV53" s="1457"/>
      <c r="AW53" s="1560"/>
      <c r="AX53" s="1457"/>
      <c r="AY53" s="1457"/>
      <c r="AZ53" s="1457"/>
      <c r="BA53" s="1457"/>
      <c r="BB53" s="1461"/>
      <c r="BC53" s="2318"/>
      <c r="BE53" s="564"/>
      <c r="BF53" s="564"/>
      <c r="BG53" s="564"/>
      <c r="BH53" s="564"/>
      <c r="BI53" s="1219">
        <v>11</v>
      </c>
    </row>
    <row customHeight="1" ht="11.549999999999999">
      <c r="A54" s="1427" t="s">
        <v>280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523</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524</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280</v>
      </c>
      <c r="B56" s="1427" t="s">
        <v>281</v>
      </c>
      <c r="C56" s="1427" t="s">
        <v>282</v>
      </c>
      <c r="D56" s="1427" t="s">
        <v>530</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506</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280</v>
      </c>
      <c r="B57" s="1427" t="s">
        <v>281</v>
      </c>
      <c r="C57" s="1427" t="s">
        <v>282</v>
      </c>
      <c r="D57" s="1427" t="s">
        <v>530</v>
      </c>
      <c r="E57" s="2323"/>
      <c r="F57" s="2323"/>
      <c r="G57" s="2323"/>
      <c r="H57" s="2323"/>
      <c r="I57" s="2350"/>
      <c r="J57" s="2320"/>
      <c r="K57" s="1427"/>
      <c r="L57" s="1428"/>
      <c r="P57" s="2321"/>
      <c r="Q57" s="2321"/>
      <c r="R57" s="420"/>
      <c r="S57" s="1342"/>
      <c r="T57" s="351" t="s">
        <v>469</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976" customFormat="1" customHeight="1" ht="0">
      <c r="A58" s="1407" t="s">
        <v>280</v>
      </c>
      <c r="B58" s="1407" t="s">
        <v>281</v>
      </c>
      <c r="C58" s="1407" t="s">
        <v>282</v>
      </c>
      <c r="D58" s="1407" t="s">
        <v>530</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976" customFormat="1" customHeight="1" ht="0">
      <c r="A59" s="1407" t="s">
        <v>280</v>
      </c>
      <c r="B59" s="1407" t="s">
        <v>281</v>
      </c>
      <c r="C59" s="1407" t="s">
        <v>282</v>
      </c>
      <c r="D59" s="1407" t="s">
        <v>530</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976" customFormat="1" customHeight="1" ht="0">
      <c r="A60" s="1407" t="s">
        <v>280</v>
      </c>
      <c r="B60" s="1407" t="s">
        <v>281</v>
      </c>
      <c r="C60" s="1407" t="s">
        <v>282</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976" customFormat="1" customHeight="1" ht="0">
      <c r="A61" s="1407" t="s">
        <v>280</v>
      </c>
      <c r="B61" s="1407" t="s">
        <v>281</v>
      </c>
      <c r="C61" s="1378"/>
      <c r="D61" s="1378"/>
      <c r="E61" s="2323"/>
      <c r="F61" s="2322"/>
      <c r="G61" s="1378"/>
      <c r="H61" s="1378"/>
      <c r="I61" s="1378"/>
      <c r="J61" s="1378"/>
      <c r="K61" s="1378"/>
      <c r="L61" s="1558"/>
      <c r="M61" s="1385"/>
      <c r="N61" s="1385"/>
      <c r="P61" s="1380"/>
      <c r="Q61" s="1381"/>
      <c r="R61" s="1380"/>
      <c r="S61" s="1386"/>
      <c r="T61" s="1389" t="s">
        <v>255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976" customFormat="1" customHeight="1" ht="0">
      <c r="A62" s="1407" t="s">
        <v>280</v>
      </c>
      <c r="B62" s="1407"/>
      <c r="C62" s="1407"/>
      <c r="D62" s="1407"/>
      <c r="E62" s="2322"/>
      <c r="F62" s="1407"/>
      <c r="G62" s="1407"/>
      <c r="H62" s="1407"/>
      <c r="I62" s="1407"/>
      <c r="J62" s="1407"/>
      <c r="K62" s="1407"/>
      <c r="L62" s="1410"/>
      <c r="M62" s="1385"/>
      <c r="N62" s="1385"/>
      <c r="O62" s="582"/>
      <c r="P62" s="444"/>
      <c r="Q62" s="1408"/>
      <c r="R62" s="444"/>
      <c r="S62" s="1386"/>
      <c r="T62" s="1389" t="s">
        <v>256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976"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257</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83</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64777-FED9-4B7A-AAE4-0.1AD4C1C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468" width="8.00390625" hidden="1" customWidth="1"/>
    <col min="2" max="2" style="5416" width="6.00390625" hidden="1" customWidth="1"/>
    <col min="3" max="3" style="5468" width="3.00390625" customWidth="1"/>
    <col min="4" max="4" style="5763" width="3.00390625" customWidth="1"/>
    <col min="5" max="5" style="5468" width="6.00390625" customWidth="1"/>
    <col min="6" max="6" style="5468" width="2.7109375" hidden="1" customWidth="1"/>
    <col min="7" max="7" style="5468" width="46.7109375" customWidth="1"/>
    <col min="8" max="8" style="5468" width="42.00390625" customWidth="1"/>
    <col min="9" max="9" style="5468" width="14.00390625" customWidth="1"/>
    <col min="10" max="10" style="5419" width="3.00390625" customWidth="1"/>
    <col min="11" max="13" style="5419" width="9.140625" hidden="1"/>
    <col min="14" max="14" style="5419" width="25.7109375" hidden="1" customWidth="1"/>
    <col min="15" max="15" style="5419" width="14.421875" hidden="1" customWidth="1"/>
    <col min="16" max="19" style="2883" width="9.140625" hidden="1"/>
    <col min="20" max="27" style="5468" width="9.140625" hidden="1"/>
    <col min="28" max="28" style="5468" width="8.00390625" customWidth="1"/>
    <col min="29" max="29" style="5468" width="9.140625" hidden="1"/>
  </cols>
  <sheetData>
    <row s="4976" customFormat="1" customHeight="1" ht="5.25" hidden="1">
      <c r="A1" s="560"/>
      <c r="B1" s="575"/>
      <c r="C1" s="575"/>
      <c r="D1" s="285"/>
      <c r="F1" s="575"/>
      <c r="G1" s="311" t="s">
        <v>84</v>
      </c>
      <c r="H1" s="558" t="s">
        <v>85</v>
      </c>
      <c r="I1" s="291" t="s">
        <v>86</v>
      </c>
      <c r="J1" s="311" t="s">
        <v>84</v>
      </c>
      <c r="K1" s="311"/>
      <c r="L1" s="311"/>
      <c r="M1" s="311"/>
      <c r="N1" s="312"/>
      <c r="O1" s="311"/>
      <c r="P1" s="311"/>
      <c r="Q1" s="311"/>
      <c r="R1" s="311"/>
      <c r="S1" s="311"/>
      <c r="T1" s="291"/>
      <c r="U1" s="291"/>
      <c r="V1" s="291"/>
      <c r="W1" s="291"/>
      <c r="X1" s="291"/>
      <c r="Y1" s="291"/>
      <c r="Z1" s="291"/>
      <c r="AA1" s="291"/>
      <c r="AB1" s="291"/>
      <c r="AC1" s="216" t="s">
        <v>14</v>
      </c>
    </row>
    <row s="2873"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473" customFormat="1" customHeight="1" ht="3">
      <c r="A3" s="822"/>
      <c r="B3" s="481"/>
      <c r="C3" s="822"/>
      <c r="D3" s="228"/>
      <c r="E3" s="167"/>
      <c r="F3" s="573"/>
      <c r="G3" s="167"/>
      <c r="H3" s="167"/>
      <c r="I3" s="230"/>
      <c r="J3" s="311"/>
      <c r="K3" s="219"/>
      <c r="L3" s="219"/>
      <c r="M3" s="219"/>
      <c r="N3" s="290"/>
      <c r="O3" s="219"/>
      <c r="P3" s="289"/>
      <c r="Q3" s="289"/>
      <c r="R3" s="289"/>
      <c r="S3" s="289"/>
      <c r="AC3" s="180">
        <v>3</v>
      </c>
    </row>
    <row s="3473"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473" customFormat="1" customHeight="1" ht="3">
      <c r="A5" s="822"/>
      <c r="B5" s="481"/>
      <c r="C5" s="822"/>
      <c r="D5" s="228"/>
      <c r="E5" s="167"/>
      <c r="F5" s="573"/>
      <c r="G5" s="231"/>
      <c r="H5" s="231"/>
      <c r="I5" s="232"/>
      <c r="J5" s="219"/>
      <c r="K5" s="219"/>
      <c r="L5" s="219"/>
      <c r="M5" s="219"/>
      <c r="N5" s="290"/>
      <c r="O5" s="219"/>
      <c r="P5" s="289"/>
      <c r="Q5" s="289"/>
      <c r="R5" s="289"/>
      <c r="S5" s="289"/>
      <c r="AC5" s="180">
        <v>3</v>
      </c>
    </row>
    <row s="3473"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473" customFormat="1" customHeight="1" ht="14.699999999999998">
      <c r="A8" s="822"/>
      <c r="B8" s="481"/>
      <c r="C8" s="822"/>
      <c r="D8" s="228"/>
      <c r="E8" s="2165" t="s">
        <v>87</v>
      </c>
      <c r="F8" s="2166"/>
      <c r="G8" s="2167"/>
      <c r="H8" s="2168" t="s">
        <v>88</v>
      </c>
      <c r="I8" s="2168"/>
      <c r="J8" s="219"/>
      <c r="K8" s="219"/>
      <c r="L8" s="219"/>
      <c r="M8" s="219"/>
      <c r="N8" s="290"/>
      <c r="O8" s="219"/>
      <c r="P8" s="289"/>
      <c r="Q8" s="289"/>
      <c r="R8" s="289"/>
      <c r="S8" s="289"/>
      <c r="AC8" s="180">
        <v>14</v>
      </c>
    </row>
    <row s="3473" customFormat="1" customHeight="1" ht="21">
      <c r="A9" s="822"/>
      <c r="B9" s="481"/>
      <c r="C9" s="822"/>
      <c r="D9" s="228"/>
      <c r="E9" s="841" t="s">
        <v>89</v>
      </c>
      <c r="F9" s="841"/>
      <c r="G9" s="236" t="s">
        <v>90</v>
      </c>
      <c r="H9" s="236" t="s">
        <v>90</v>
      </c>
      <c r="I9" s="236" t="s">
        <v>86</v>
      </c>
      <c r="J9" s="219"/>
      <c r="K9" s="219"/>
      <c r="L9" s="219"/>
      <c r="M9" s="219"/>
      <c r="N9" s="290"/>
      <c r="O9" s="219"/>
      <c r="P9" s="289"/>
      <c r="Q9" s="289"/>
      <c r="R9" s="289"/>
      <c r="S9" s="289"/>
      <c r="AC9" s="180">
        <v>20</v>
      </c>
    </row>
    <row customHeight="1" ht="11.549999999999999">
      <c r="D10" s="240"/>
      <c r="E10" s="842" t="s">
        <v>91</v>
      </c>
      <c r="F10" s="842"/>
      <c r="G10" s="287" t="s">
        <v>92</v>
      </c>
      <c r="H10" s="287" t="s">
        <v>93</v>
      </c>
      <c r="I10" s="287" t="s">
        <v>94</v>
      </c>
      <c r="J10" s="250"/>
      <c r="K10" s="250"/>
      <c r="L10" s="250"/>
      <c r="M10" s="250"/>
      <c r="N10" s="235"/>
      <c r="O10" s="250"/>
      <c r="P10" s="288"/>
      <c r="Q10" s="288"/>
      <c r="R10" s="288"/>
      <c r="S10" s="288"/>
      <c r="AC10" s="147">
        <v>11</v>
      </c>
    </row>
    <row s="3473" customFormat="1" customHeight="1" ht="1.05">
      <c r="A11" s="822"/>
      <c r="B11" s="481"/>
      <c r="C11" s="822"/>
      <c r="D11" s="228"/>
      <c r="E11" s="854"/>
      <c r="F11" s="854"/>
      <c r="G11" s="237"/>
      <c r="H11" s="237"/>
      <c r="I11" s="239"/>
      <c r="J11" s="313" t="s">
        <v>95</v>
      </c>
      <c r="K11" s="219"/>
      <c r="L11" s="219"/>
      <c r="M11" s="219" t="s">
        <v>96</v>
      </c>
      <c r="N11" s="290" t="s">
        <v>97</v>
      </c>
      <c r="O11" s="219" t="s">
        <v>98</v>
      </c>
      <c r="P11" s="289"/>
      <c r="Q11" s="289"/>
      <c r="R11" s="289"/>
      <c r="S11" s="289"/>
      <c r="AC11" s="180">
        <v>1</v>
      </c>
    </row>
    <row s="3473" customFormat="1" customHeight="1" ht="15">
      <c r="A12" s="2163">
        <v>1</v>
      </c>
      <c r="B12" s="481"/>
      <c r="C12" s="822"/>
      <c r="D12" s="846"/>
      <c r="E12" s="283">
        <f>A12</f>
        <v>1</v>
      </c>
      <c r="F12" s="866" t="s">
        <v>99</v>
      </c>
      <c r="G12" s="604" t="str">
        <f>"Территория "&amp;E12</f>
        <v>Территория 1</v>
      </c>
      <c r="H12" s="856"/>
      <c r="I12" s="856"/>
      <c r="J12" s="853"/>
      <c r="K12" s="564"/>
      <c r="L12" s="564"/>
      <c r="M12" s="564"/>
      <c r="N12" s="290"/>
      <c r="O12" s="564"/>
      <c r="P12" s="289"/>
      <c r="Q12" s="289"/>
      <c r="R12" s="289"/>
      <c r="S12" s="289"/>
      <c r="AC12" s="571">
        <v>14</v>
      </c>
    </row>
    <row s="6188" customFormat="1" customHeight="1" ht="15.75">
      <c r="A13" s="2163"/>
      <c r="B13" s="481">
        <v>1</v>
      </c>
      <c r="C13" s="481"/>
      <c r="D13" s="864"/>
      <c r="E13" s="844" t="str">
        <f>A12&amp;"."&amp;B13</f>
        <v>1.1</v>
      </c>
      <c r="F13" s="859" t="s">
        <v>100</v>
      </c>
      <c r="G13" s="857" t="s">
        <v>101</v>
      </c>
      <c r="H13" s="857" t="s">
        <v>101</v>
      </c>
      <c r="I13" s="855" t="s">
        <v>102</v>
      </c>
      <c r="J13" s="564">
        <f>MERGEVALUE(G13)</f>
      </c>
      <c r="K13" s="575"/>
      <c r="L13" s="575"/>
      <c r="M13" s="564" t="str">
        <f t="array" ref="M13:M13">IF(ISERROR(MATCH(MID(N13,1,250),MID(note_ter,1,250),0)),"n","y")</f>
        <v>n</v>
      </c>
      <c r="N13" s="575"/>
      <c r="O13" s="564" t="str">
        <f>H13&amp;"("&amp;I13&amp;")"</f>
        <v>Городской округ "Город Нарьян-Мар"(11851000)</v>
      </c>
      <c r="P13" s="481"/>
      <c r="Q13" s="481"/>
      <c r="R13" s="484"/>
      <c r="S13" s="481"/>
      <c r="T13" s="481"/>
      <c r="U13" s="481"/>
      <c r="V13" s="486"/>
      <c r="W13" s="486"/>
      <c r="X13" s="483"/>
      <c r="Y13" s="483"/>
      <c r="Z13" s="483"/>
      <c r="AA13" s="483"/>
      <c r="AB13" s="483"/>
      <c r="AC13" s="487">
        <v>15</v>
      </c>
    </row>
    <row s="6188" customFormat="1" customHeight="1" ht="15.75">
      <c r="A14" s="2163"/>
      <c r="B14" s="481"/>
      <c r="C14" s="476"/>
      <c r="D14" s="865"/>
      <c r="E14" s="485"/>
      <c r="F14" s="241"/>
      <c r="G14" s="479" t="s">
        <v>103</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473" customFormat="1" customHeight="1" ht="14.699999999999998">
      <c r="A15" s="822"/>
      <c r="B15" s="481"/>
      <c r="C15" s="822"/>
      <c r="D15" s="846"/>
      <c r="E15" s="858"/>
      <c r="F15" s="242"/>
      <c r="G15" s="480" t="s">
        <v>104</v>
      </c>
      <c r="H15" s="242"/>
      <c r="I15" s="243"/>
      <c r="J15" s="313"/>
      <c r="K15" s="219"/>
      <c r="L15" s="219"/>
      <c r="M15" s="219"/>
      <c r="N15" s="290" t="s">
        <v>105</v>
      </c>
      <c r="O15" s="219"/>
      <c r="P15" s="289"/>
      <c r="Q15" s="289"/>
      <c r="R15" s="289"/>
      <c r="S15" s="289"/>
      <c r="AC15" s="180">
        <v>14</v>
      </c>
    </row>
    <row s="3473"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473"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473"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98" customFormat="1" customHeight="1" ht="10.5">
      <c r="B19" s="898"/>
      <c r="D19" s="246"/>
      <c r="J19" s="219"/>
      <c r="K19" s="219"/>
      <c r="L19" s="219"/>
      <c r="M19" s="219"/>
      <c r="N19" s="290"/>
      <c r="O19" s="219"/>
      <c r="P19" s="289"/>
      <c r="Q19" s="289"/>
      <c r="R19" s="289"/>
      <c r="S19" s="289"/>
      <c r="AC19" s="245">
        <v>10</v>
      </c>
    </row>
    <row s="3398"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83</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99AF3-CD4F-5F13-901C-0.92FF36BA}" mc:Ignorable="x14ac xr xr2 xr3">
  <sheetPr>
    <tabColor theme="6" tint="0.4"/>
  </sheetPr>
  <dimension ref="A1:DX71"/>
  <sheetViews>
    <sheetView topLeftCell="P23" showGridLines="0" zoomScale="90" workbookViewId="0" tabSelected="1">
      <selection activeCell="P30" sqref="P30"/>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4.140625" hidden="1" customWidth="1"/>
    <col min="10" max="10" style="5416" width="9.8515625" hidden="1" customWidth="1"/>
    <col min="11" max="11" style="5416" width="14.71093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8" style="5468" width="19.7109375" hidden="1" customWidth="1"/>
    <col min="29" max="29" style="5468" width="11.7109375" hidden="1" customWidth="1"/>
    <col min="30" max="30" style="5468" width="3.7109375" hidden="1" customWidth="1"/>
    <col min="31" max="31" style="5468" width="11.7109375" hidden="1" customWidth="1"/>
    <col min="32" max="32" style="5468" width="8.57421875" hidden="1" customWidth="1"/>
    <col min="33" max="33" style="5468" width="19.7109375" customWidth="1"/>
    <col min="34" max="39" style="5468" width="19.00390625" customWidth="1"/>
    <col min="40" max="40" style="5468" width="11.00390625" customWidth="1"/>
    <col min="41" max="41" style="5468" width="3.7109375" customWidth="1"/>
    <col min="42" max="42" style="5468" width="11.00390625" customWidth="1"/>
    <col min="43" max="43" style="5468" width="8.57421875" customWidth="1"/>
    <col min="120" max="120" style="126" width="10.57421875" hidden="1"/>
    <col min="121" max="121" style="5468" width="4.00390625" customWidth="1"/>
    <col min="122" max="122" style="5468" width="115.00390625" customWidth="1"/>
    <col min="123" max="127" style="4976" width="10.00390625" customWidth="1"/>
    <col min="128" max="128" style="5468" width="10.57421875" hidden="1"/>
  </cols>
  <sheetData>
    <row customHeight="1" ht="22.5" hidden="1">
      <c r="AC1" s="391"/>
      <c r="AN1" s="391"/>
      <c r="AR1" s="3972"/>
      <c r="AS1" s="3972"/>
      <c r="AT1" s="3972"/>
      <c r="AU1" s="3972"/>
      <c r="AV1" s="3972"/>
      <c r="AW1" s="3972"/>
      <c r="AX1" s="3972"/>
      <c r="AY1" s="3972"/>
      <c r="AZ1" s="3972"/>
      <c r="BA1" s="3972"/>
      <c r="BB1" s="3972"/>
      <c r="BC1" s="3972"/>
      <c r="BD1" s="3972"/>
      <c r="BE1" s="3972"/>
      <c r="BF1" s="3972"/>
      <c r="BG1" s="3972"/>
      <c r="BH1" s="3972"/>
      <c r="BI1" s="3972"/>
      <c r="BJ1" s="3972"/>
      <c r="BK1" s="3972"/>
      <c r="BL1" s="3972"/>
      <c r="BM1" s="3972"/>
      <c r="BN1" s="3972"/>
      <c r="BO1" s="3972"/>
      <c r="BP1" s="3972"/>
      <c r="BQ1" s="3972"/>
      <c r="BR1" s="3972"/>
      <c r="BS1" s="3972"/>
      <c r="BT1" s="3972"/>
      <c r="BU1" s="3972"/>
      <c r="BV1" s="3972"/>
      <c r="BW1" s="3972"/>
      <c r="BX1" s="3972"/>
      <c r="BY1" s="3972"/>
      <c r="BZ1" s="3972"/>
      <c r="CA1" s="3972"/>
      <c r="CB1" s="3972"/>
      <c r="CC1" s="3972"/>
      <c r="CD1" s="3972"/>
      <c r="CE1" s="3972"/>
      <c r="CF1" s="3972"/>
      <c r="CG1" s="3972"/>
      <c r="CH1" s="3972"/>
      <c r="CI1" s="3972"/>
      <c r="CJ1" s="3972"/>
      <c r="CK1" s="3972"/>
      <c r="CL1" s="3972"/>
      <c r="CM1" s="3972"/>
      <c r="CN1" s="3972"/>
      <c r="CO1" s="3972"/>
      <c r="CP1" s="3972"/>
      <c r="CQ1" s="3972"/>
      <c r="CR1" s="3972"/>
      <c r="CS1" s="3972"/>
      <c r="CT1" s="3972"/>
      <c r="CU1" s="3972"/>
      <c r="CV1" s="3972"/>
      <c r="CW1" s="3972"/>
      <c r="CX1" s="3972"/>
      <c r="CY1" s="3972"/>
      <c r="CZ1" s="3972"/>
      <c r="DA1" s="3972"/>
      <c r="DB1" s="3972"/>
      <c r="DC1" s="3972"/>
      <c r="DD1" s="3972"/>
      <c r="DE1" s="3972"/>
      <c r="DF1" s="3972"/>
      <c r="DG1" s="3972"/>
      <c r="DH1" s="3972"/>
      <c r="DI1" s="3972"/>
      <c r="DJ1" s="3972"/>
      <c r="DK1" s="3972"/>
      <c r="DL1" s="3972"/>
      <c r="DM1" s="3972"/>
      <c r="DN1" s="3972"/>
      <c r="DO1" s="3972"/>
      <c r="DP1" s="6192"/>
      <c r="DX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124</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3973"/>
      <c r="AS2" s="3974"/>
      <c r="AT2" s="3974"/>
      <c r="AU2" s="3974"/>
      <c r="AV2" s="3974"/>
      <c r="AW2" s="3974"/>
      <c r="AX2" s="3974"/>
      <c r="AY2" s="3974"/>
      <c r="AZ2" s="3974"/>
      <c r="BA2" s="3974"/>
      <c r="BB2" s="3975"/>
      <c r="BC2" s="3973"/>
      <c r="BD2" s="3974"/>
      <c r="BE2" s="3974"/>
      <c r="BF2" s="3974"/>
      <c r="BG2" s="3974"/>
      <c r="BH2" s="3974"/>
      <c r="BI2" s="3974"/>
      <c r="BJ2" s="3974"/>
      <c r="BK2" s="3974"/>
      <c r="BL2" s="3974"/>
      <c r="BM2" s="3975"/>
      <c r="BN2" s="3973"/>
      <c r="BO2" s="3974"/>
      <c r="BP2" s="3974"/>
      <c r="BQ2" s="3974"/>
      <c r="BR2" s="3974"/>
      <c r="BS2" s="3974"/>
      <c r="BT2" s="3974"/>
      <c r="BU2" s="3974"/>
      <c r="BV2" s="3974"/>
      <c r="BW2" s="3974"/>
      <c r="BX2" s="3975"/>
      <c r="BY2" s="3973"/>
      <c r="BZ2" s="3974"/>
      <c r="CA2" s="3974"/>
      <c r="CB2" s="3974"/>
      <c r="CC2" s="3974"/>
      <c r="CD2" s="3974"/>
      <c r="CE2" s="3974"/>
      <c r="CF2" s="3974"/>
      <c r="CG2" s="3974"/>
      <c r="CH2" s="3974"/>
      <c r="CI2" s="3975"/>
      <c r="CJ2" s="3973"/>
      <c r="CK2" s="3974"/>
      <c r="CL2" s="3974"/>
      <c r="CM2" s="3974"/>
      <c r="CN2" s="3974"/>
      <c r="CO2" s="3974"/>
      <c r="CP2" s="3974"/>
      <c r="CQ2" s="3974"/>
      <c r="CR2" s="3974"/>
      <c r="CS2" s="3974"/>
      <c r="CT2" s="3975"/>
      <c r="CU2" s="3973"/>
      <c r="CV2" s="3974"/>
      <c r="CW2" s="3974"/>
      <c r="CX2" s="3974"/>
      <c r="CY2" s="3974"/>
      <c r="CZ2" s="3974"/>
      <c r="DA2" s="3974"/>
      <c r="DB2" s="3974"/>
      <c r="DC2" s="3974"/>
      <c r="DD2" s="3974"/>
      <c r="DE2" s="3975"/>
      <c r="DF2" s="3973"/>
      <c r="DG2" s="3974"/>
      <c r="DH2" s="3974"/>
      <c r="DI2" s="3974"/>
      <c r="DJ2" s="3974"/>
      <c r="DK2" s="3974"/>
      <c r="DL2" s="3974"/>
      <c r="DM2" s="3974"/>
      <c r="DN2" s="3974"/>
      <c r="DO2" s="3974"/>
      <c r="DP2" s="6193"/>
      <c r="DQ2" s="2308"/>
      <c r="DR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T2" s="564"/>
      <c r="DU2" s="564" t="str">
        <f>IF(T2="","",T2)</f>
        <v>Наименование тарифа</v>
      </c>
      <c r="DV2" s="564"/>
      <c r="DW2" s="564"/>
      <c r="DX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3973"/>
      <c r="AS3" s="3974"/>
      <c r="AT3" s="3974"/>
      <c r="AU3" s="3974"/>
      <c r="AV3" s="3974"/>
      <c r="AW3" s="3974"/>
      <c r="AX3" s="3974"/>
      <c r="AY3" s="3974"/>
      <c r="AZ3" s="3974"/>
      <c r="BA3" s="3974"/>
      <c r="BB3" s="3975"/>
      <c r="BC3" s="3973"/>
      <c r="BD3" s="3974"/>
      <c r="BE3" s="3974"/>
      <c r="BF3" s="3974"/>
      <c r="BG3" s="3974"/>
      <c r="BH3" s="3974"/>
      <c r="BI3" s="3974"/>
      <c r="BJ3" s="3974"/>
      <c r="BK3" s="3974"/>
      <c r="BL3" s="3974"/>
      <c r="BM3" s="3975"/>
      <c r="BN3" s="3973"/>
      <c r="BO3" s="3974"/>
      <c r="BP3" s="3974"/>
      <c r="BQ3" s="3974"/>
      <c r="BR3" s="3974"/>
      <c r="BS3" s="3974"/>
      <c r="BT3" s="3974"/>
      <c r="BU3" s="3974"/>
      <c r="BV3" s="3974"/>
      <c r="BW3" s="3974"/>
      <c r="BX3" s="3975"/>
      <c r="BY3" s="3973"/>
      <c r="BZ3" s="3974"/>
      <c r="CA3" s="3974"/>
      <c r="CB3" s="3974"/>
      <c r="CC3" s="3974"/>
      <c r="CD3" s="3974"/>
      <c r="CE3" s="3974"/>
      <c r="CF3" s="3974"/>
      <c r="CG3" s="3974"/>
      <c r="CH3" s="3974"/>
      <c r="CI3" s="3975"/>
      <c r="CJ3" s="3973"/>
      <c r="CK3" s="3974"/>
      <c r="CL3" s="3974"/>
      <c r="CM3" s="3974"/>
      <c r="CN3" s="3974"/>
      <c r="CO3" s="3974"/>
      <c r="CP3" s="3974"/>
      <c r="CQ3" s="3974"/>
      <c r="CR3" s="3974"/>
      <c r="CS3" s="3974"/>
      <c r="CT3" s="3975"/>
      <c r="CU3" s="3973"/>
      <c r="CV3" s="3974"/>
      <c r="CW3" s="3974"/>
      <c r="CX3" s="3974"/>
      <c r="CY3" s="3974"/>
      <c r="CZ3" s="3974"/>
      <c r="DA3" s="3974"/>
      <c r="DB3" s="3974"/>
      <c r="DC3" s="3974"/>
      <c r="DD3" s="3974"/>
      <c r="DE3" s="3975"/>
      <c r="DF3" s="3973"/>
      <c r="DG3" s="3974"/>
      <c r="DH3" s="3974"/>
      <c r="DI3" s="3974"/>
      <c r="DJ3" s="3974"/>
      <c r="DK3" s="3974"/>
      <c r="DL3" s="3974"/>
      <c r="DM3" s="3974"/>
      <c r="DN3" s="3974"/>
      <c r="DO3" s="3974"/>
      <c r="DP3" s="6193"/>
      <c r="DQ3" s="2308"/>
      <c r="DR3" s="1322" t="s">
        <v>402</v>
      </c>
      <c r="DT3" s="564"/>
      <c r="DU3" s="564" t="str">
        <f>IF(T3="","",T3)</f>
        <v>Территория действия тарифа</v>
      </c>
      <c r="DV3" s="564"/>
      <c r="DW3" s="564"/>
      <c r="DX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531</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3973"/>
      <c r="AS4" s="3974"/>
      <c r="AT4" s="3974"/>
      <c r="AU4" s="3974"/>
      <c r="AV4" s="3974"/>
      <c r="AW4" s="3974"/>
      <c r="AX4" s="3974"/>
      <c r="AY4" s="3974"/>
      <c r="AZ4" s="3974"/>
      <c r="BA4" s="3974"/>
      <c r="BB4" s="3975"/>
      <c r="BC4" s="3973"/>
      <c r="BD4" s="3974"/>
      <c r="BE4" s="3974"/>
      <c r="BF4" s="3974"/>
      <c r="BG4" s="3974"/>
      <c r="BH4" s="3974"/>
      <c r="BI4" s="3974"/>
      <c r="BJ4" s="3974"/>
      <c r="BK4" s="3974"/>
      <c r="BL4" s="3974"/>
      <c r="BM4" s="3975"/>
      <c r="BN4" s="3973"/>
      <c r="BO4" s="3974"/>
      <c r="BP4" s="3974"/>
      <c r="BQ4" s="3974"/>
      <c r="BR4" s="3974"/>
      <c r="BS4" s="3974"/>
      <c r="BT4" s="3974"/>
      <c r="BU4" s="3974"/>
      <c r="BV4" s="3974"/>
      <c r="BW4" s="3974"/>
      <c r="BX4" s="3975"/>
      <c r="BY4" s="3973"/>
      <c r="BZ4" s="3974"/>
      <c r="CA4" s="3974"/>
      <c r="CB4" s="3974"/>
      <c r="CC4" s="3974"/>
      <c r="CD4" s="3974"/>
      <c r="CE4" s="3974"/>
      <c r="CF4" s="3974"/>
      <c r="CG4" s="3974"/>
      <c r="CH4" s="3974"/>
      <c r="CI4" s="3975"/>
      <c r="CJ4" s="3973"/>
      <c r="CK4" s="3974"/>
      <c r="CL4" s="3974"/>
      <c r="CM4" s="3974"/>
      <c r="CN4" s="3974"/>
      <c r="CO4" s="3974"/>
      <c r="CP4" s="3974"/>
      <c r="CQ4" s="3974"/>
      <c r="CR4" s="3974"/>
      <c r="CS4" s="3974"/>
      <c r="CT4" s="3975"/>
      <c r="CU4" s="3973"/>
      <c r="CV4" s="3974"/>
      <c r="CW4" s="3974"/>
      <c r="CX4" s="3974"/>
      <c r="CY4" s="3974"/>
      <c r="CZ4" s="3974"/>
      <c r="DA4" s="3974"/>
      <c r="DB4" s="3974"/>
      <c r="DC4" s="3974"/>
      <c r="DD4" s="3974"/>
      <c r="DE4" s="3975"/>
      <c r="DF4" s="3973"/>
      <c r="DG4" s="3974"/>
      <c r="DH4" s="3974"/>
      <c r="DI4" s="3974"/>
      <c r="DJ4" s="3974"/>
      <c r="DK4" s="3974"/>
      <c r="DL4" s="3974"/>
      <c r="DM4" s="3974"/>
      <c r="DN4" s="3974"/>
      <c r="DO4" s="3974"/>
      <c r="DP4" s="6193"/>
      <c r="DQ4" s="2308"/>
      <c r="DR4" s="1322" t="s">
        <v>532</v>
      </c>
      <c r="DT4" s="564"/>
      <c r="DU4" s="564" t="str">
        <f>IF(T4="","",T4)</f>
        <v>Наименование централизованной системы горячего водоснабжения</v>
      </c>
      <c r="DV4" s="564"/>
      <c r="DW4" s="564"/>
      <c r="DX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484</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3976"/>
      <c r="AS5" s="3977"/>
      <c r="AT5" s="3977"/>
      <c r="AU5" s="3977"/>
      <c r="AV5" s="3977"/>
      <c r="AW5" s="3977"/>
      <c r="AX5" s="3977"/>
      <c r="AY5" s="3977"/>
      <c r="AZ5" s="3977"/>
      <c r="BA5" s="3977"/>
      <c r="BB5" s="3978"/>
      <c r="BC5" s="3976"/>
      <c r="BD5" s="3977"/>
      <c r="BE5" s="3977"/>
      <c r="BF5" s="3977"/>
      <c r="BG5" s="3977"/>
      <c r="BH5" s="3977"/>
      <c r="BI5" s="3977"/>
      <c r="BJ5" s="3977"/>
      <c r="BK5" s="3977"/>
      <c r="BL5" s="3977"/>
      <c r="BM5" s="3978"/>
      <c r="BN5" s="3976"/>
      <c r="BO5" s="3977"/>
      <c r="BP5" s="3977"/>
      <c r="BQ5" s="3977"/>
      <c r="BR5" s="3977"/>
      <c r="BS5" s="3977"/>
      <c r="BT5" s="3977"/>
      <c r="BU5" s="3977"/>
      <c r="BV5" s="3977"/>
      <c r="BW5" s="3977"/>
      <c r="BX5" s="3978"/>
      <c r="BY5" s="3976"/>
      <c r="BZ5" s="3977"/>
      <c r="CA5" s="3977"/>
      <c r="CB5" s="3977"/>
      <c r="CC5" s="3977"/>
      <c r="CD5" s="3977"/>
      <c r="CE5" s="3977"/>
      <c r="CF5" s="3977"/>
      <c r="CG5" s="3977"/>
      <c r="CH5" s="3977"/>
      <c r="CI5" s="3978"/>
      <c r="CJ5" s="3976"/>
      <c r="CK5" s="3977"/>
      <c r="CL5" s="3977"/>
      <c r="CM5" s="3977"/>
      <c r="CN5" s="3977"/>
      <c r="CO5" s="3977"/>
      <c r="CP5" s="3977"/>
      <c r="CQ5" s="3977"/>
      <c r="CR5" s="3977"/>
      <c r="CS5" s="3977"/>
      <c r="CT5" s="3978"/>
      <c r="CU5" s="3976"/>
      <c r="CV5" s="3977"/>
      <c r="CW5" s="3977"/>
      <c r="CX5" s="3977"/>
      <c r="CY5" s="3977"/>
      <c r="CZ5" s="3977"/>
      <c r="DA5" s="3977"/>
      <c r="DB5" s="3977"/>
      <c r="DC5" s="3977"/>
      <c r="DD5" s="3977"/>
      <c r="DE5" s="3978"/>
      <c r="DF5" s="3976"/>
      <c r="DG5" s="3977"/>
      <c r="DH5" s="3977"/>
      <c r="DI5" s="3977"/>
      <c r="DJ5" s="3977"/>
      <c r="DK5" s="3977"/>
      <c r="DL5" s="3977"/>
      <c r="DM5" s="3977"/>
      <c r="DN5" s="3977"/>
      <c r="DO5" s="3977"/>
      <c r="DP5" s="6194"/>
      <c r="DQ5" s="2419"/>
      <c r="DR5" s="1322" t="s">
        <v>485</v>
      </c>
      <c r="DT5" s="564"/>
      <c r="DU5" s="564" t="str">
        <f>IF(T5="","",T5)</f>
        <v>Наименование признака дифференциации</v>
      </c>
      <c r="DV5" s="564"/>
      <c r="DW5" s="564"/>
      <c r="DX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3979"/>
      <c r="AS6" s="3980"/>
      <c r="AT6" s="3980"/>
      <c r="AU6" s="3980"/>
      <c r="AV6" s="3980"/>
      <c r="AW6" s="3980"/>
      <c r="AX6" s="3980"/>
      <c r="AY6" s="3980"/>
      <c r="AZ6" s="3980"/>
      <c r="BA6" s="3980"/>
      <c r="BB6" s="3981"/>
      <c r="BC6" s="3979"/>
      <c r="BD6" s="3980"/>
      <c r="BE6" s="3980"/>
      <c r="BF6" s="3980"/>
      <c r="BG6" s="3980"/>
      <c r="BH6" s="3980"/>
      <c r="BI6" s="3980"/>
      <c r="BJ6" s="3980"/>
      <c r="BK6" s="3980"/>
      <c r="BL6" s="3980"/>
      <c r="BM6" s="3981"/>
      <c r="BN6" s="3979"/>
      <c r="BO6" s="3980"/>
      <c r="BP6" s="3980"/>
      <c r="BQ6" s="3980"/>
      <c r="BR6" s="3980"/>
      <c r="BS6" s="3980"/>
      <c r="BT6" s="3980"/>
      <c r="BU6" s="3980"/>
      <c r="BV6" s="3980"/>
      <c r="BW6" s="3980"/>
      <c r="BX6" s="3981"/>
      <c r="BY6" s="3979"/>
      <c r="BZ6" s="3980"/>
      <c r="CA6" s="3980"/>
      <c r="CB6" s="3980"/>
      <c r="CC6" s="3980"/>
      <c r="CD6" s="3980"/>
      <c r="CE6" s="3980"/>
      <c r="CF6" s="3980"/>
      <c r="CG6" s="3980"/>
      <c r="CH6" s="3980"/>
      <c r="CI6" s="3981"/>
      <c r="CJ6" s="3979"/>
      <c r="CK6" s="3980"/>
      <c r="CL6" s="3980"/>
      <c r="CM6" s="3980"/>
      <c r="CN6" s="3980"/>
      <c r="CO6" s="3980"/>
      <c r="CP6" s="3980"/>
      <c r="CQ6" s="3980"/>
      <c r="CR6" s="3980"/>
      <c r="CS6" s="3980"/>
      <c r="CT6" s="3981"/>
      <c r="CU6" s="3979"/>
      <c r="CV6" s="3980"/>
      <c r="CW6" s="3980"/>
      <c r="CX6" s="3980"/>
      <c r="CY6" s="3980"/>
      <c r="CZ6" s="3980"/>
      <c r="DA6" s="3980"/>
      <c r="DB6" s="3980"/>
      <c r="DC6" s="3980"/>
      <c r="DD6" s="3980"/>
      <c r="DE6" s="3981"/>
      <c r="DF6" s="3979"/>
      <c r="DG6" s="3980"/>
      <c r="DH6" s="3980"/>
      <c r="DI6" s="3980"/>
      <c r="DJ6" s="3980"/>
      <c r="DK6" s="3980"/>
      <c r="DL6" s="3980"/>
      <c r="DM6" s="3980"/>
      <c r="DN6" s="3980"/>
      <c r="DO6" s="3980"/>
      <c r="DP6" s="6195"/>
      <c r="DQ6" s="2311"/>
      <c r="DR6" s="1371" t="s">
        <v>486</v>
      </c>
      <c r="DT6" s="564"/>
      <c r="DU6" s="564" t="str">
        <f>IF(T6="","",T6)</f>
        <v>Группа потребителей</v>
      </c>
      <c r="DV6" s="564"/>
      <c r="DW6" s="564"/>
      <c r="DX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62</v>
      </c>
      <c r="AE7" s="2329"/>
      <c r="AF7" s="2171" t="s">
        <v>62</v>
      </c>
      <c r="AG7" s="815"/>
      <c r="AH7" s="815"/>
      <c r="AI7" s="815"/>
      <c r="AJ7" s="815"/>
      <c r="AK7" s="815"/>
      <c r="AL7" s="815"/>
      <c r="AM7" s="815"/>
      <c r="AN7" s="2329"/>
      <c r="AO7" s="2171" t="s">
        <v>62</v>
      </c>
      <c r="AP7" s="2351"/>
      <c r="AQ7" s="2171" t="s">
        <v>62</v>
      </c>
      <c r="AR7" s="3982"/>
      <c r="AS7" s="3982"/>
      <c r="AT7" s="3982"/>
      <c r="AU7" s="3982"/>
      <c r="AV7" s="3982"/>
      <c r="AW7" s="3982"/>
      <c r="AX7" s="3982"/>
      <c r="AY7" s="3983"/>
      <c r="AZ7" s="3984" t="s">
        <v>62</v>
      </c>
      <c r="BA7" s="3983"/>
      <c r="BB7" s="3984" t="s">
        <v>62</v>
      </c>
      <c r="BC7" s="3982"/>
      <c r="BD7" s="3982"/>
      <c r="BE7" s="3982"/>
      <c r="BF7" s="3982"/>
      <c r="BG7" s="3982"/>
      <c r="BH7" s="3982"/>
      <c r="BI7" s="3982"/>
      <c r="BJ7" s="3983"/>
      <c r="BK7" s="3984" t="s">
        <v>62</v>
      </c>
      <c r="BL7" s="3983"/>
      <c r="BM7" s="3984" t="s">
        <v>62</v>
      </c>
      <c r="BN7" s="3982"/>
      <c r="BO7" s="3982"/>
      <c r="BP7" s="3982"/>
      <c r="BQ7" s="3982"/>
      <c r="BR7" s="3982"/>
      <c r="BS7" s="3982"/>
      <c r="BT7" s="3982"/>
      <c r="BU7" s="3983"/>
      <c r="BV7" s="3984" t="s">
        <v>62</v>
      </c>
      <c r="BW7" s="3983"/>
      <c r="BX7" s="3984" t="s">
        <v>62</v>
      </c>
      <c r="BY7" s="3982"/>
      <c r="BZ7" s="3982"/>
      <c r="CA7" s="3982"/>
      <c r="CB7" s="3982"/>
      <c r="CC7" s="3982"/>
      <c r="CD7" s="3982"/>
      <c r="CE7" s="3982"/>
      <c r="CF7" s="3983"/>
      <c r="CG7" s="3984" t="s">
        <v>62</v>
      </c>
      <c r="CH7" s="3983"/>
      <c r="CI7" s="3984" t="s">
        <v>62</v>
      </c>
      <c r="CJ7" s="3982"/>
      <c r="CK7" s="3982"/>
      <c r="CL7" s="3982"/>
      <c r="CM7" s="3982"/>
      <c r="CN7" s="3982"/>
      <c r="CO7" s="3982"/>
      <c r="CP7" s="3982"/>
      <c r="CQ7" s="3983"/>
      <c r="CR7" s="3984" t="s">
        <v>62</v>
      </c>
      <c r="CS7" s="3983"/>
      <c r="CT7" s="3984" t="s">
        <v>62</v>
      </c>
      <c r="CU7" s="3982"/>
      <c r="CV7" s="3982"/>
      <c r="CW7" s="3982"/>
      <c r="CX7" s="3982"/>
      <c r="CY7" s="3982"/>
      <c r="CZ7" s="3982"/>
      <c r="DA7" s="3982"/>
      <c r="DB7" s="3983"/>
      <c r="DC7" s="3984" t="s">
        <v>62</v>
      </c>
      <c r="DD7" s="3983"/>
      <c r="DE7" s="3984" t="s">
        <v>62</v>
      </c>
      <c r="DF7" s="3982"/>
      <c r="DG7" s="3982"/>
      <c r="DH7" s="3982"/>
      <c r="DI7" s="3982"/>
      <c r="DJ7" s="3982"/>
      <c r="DK7" s="3982"/>
      <c r="DL7" s="3982"/>
      <c r="DM7" s="3983"/>
      <c r="DN7" s="3984" t="s">
        <v>62</v>
      </c>
      <c r="DO7" s="3983"/>
      <c r="DP7" s="6196" t="s">
        <v>62</v>
      </c>
      <c r="DQ7" s="1502"/>
      <c r="DR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7" s="575">
        <f>STRCHECKDATE(V8:DQ8)</f>
      </c>
      <c r="DT7" s="564"/>
      <c r="DU7" s="564" t="str">
        <f>IF(T7="","",T7)</f>
        <v/>
      </c>
      <c r="DV7" s="564"/>
      <c r="DW7" s="564"/>
      <c r="DX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3985"/>
      <c r="AS8" s="3985"/>
      <c r="AT8" s="3985"/>
      <c r="AU8" s="3985"/>
      <c r="AV8" s="3985"/>
      <c r="AW8" s="3985"/>
      <c r="AX8" s="3985"/>
      <c r="AY8" s="3986"/>
      <c r="AZ8" s="3984"/>
      <c r="BA8" s="3986"/>
      <c r="BB8" s="3984"/>
      <c r="BC8" s="3985"/>
      <c r="BD8" s="3985"/>
      <c r="BE8" s="3985"/>
      <c r="BF8" s="3985"/>
      <c r="BG8" s="3985"/>
      <c r="BH8" s="3985"/>
      <c r="BI8" s="3985"/>
      <c r="BJ8" s="3986"/>
      <c r="BK8" s="3984"/>
      <c r="BL8" s="3986"/>
      <c r="BM8" s="3984"/>
      <c r="BN8" s="3985"/>
      <c r="BO8" s="3985"/>
      <c r="BP8" s="3985"/>
      <c r="BQ8" s="3985"/>
      <c r="BR8" s="3985"/>
      <c r="BS8" s="3985"/>
      <c r="BT8" s="3985"/>
      <c r="BU8" s="3986"/>
      <c r="BV8" s="3984"/>
      <c r="BW8" s="3986"/>
      <c r="BX8" s="3984"/>
      <c r="BY8" s="3985"/>
      <c r="BZ8" s="3985"/>
      <c r="CA8" s="3985"/>
      <c r="CB8" s="3985"/>
      <c r="CC8" s="3985"/>
      <c r="CD8" s="3985"/>
      <c r="CE8" s="3985"/>
      <c r="CF8" s="3986"/>
      <c r="CG8" s="3984"/>
      <c r="CH8" s="3986"/>
      <c r="CI8" s="3984"/>
      <c r="CJ8" s="3985"/>
      <c r="CK8" s="3985"/>
      <c r="CL8" s="3985"/>
      <c r="CM8" s="3985"/>
      <c r="CN8" s="3985"/>
      <c r="CO8" s="3985"/>
      <c r="CP8" s="3985"/>
      <c r="CQ8" s="3986"/>
      <c r="CR8" s="3984"/>
      <c r="CS8" s="3986"/>
      <c r="CT8" s="3984"/>
      <c r="CU8" s="3985"/>
      <c r="CV8" s="3985"/>
      <c r="CW8" s="3985"/>
      <c r="CX8" s="3985"/>
      <c r="CY8" s="3985"/>
      <c r="CZ8" s="3985"/>
      <c r="DA8" s="3985"/>
      <c r="DB8" s="3986"/>
      <c r="DC8" s="3984"/>
      <c r="DD8" s="3986"/>
      <c r="DE8" s="3984"/>
      <c r="DF8" s="3985"/>
      <c r="DG8" s="3985"/>
      <c r="DH8" s="3985"/>
      <c r="DI8" s="3985"/>
      <c r="DJ8" s="3985"/>
      <c r="DK8" s="3985"/>
      <c r="DL8" s="3985"/>
      <c r="DM8" s="3986"/>
      <c r="DN8" s="3984"/>
      <c r="DO8" s="3986"/>
      <c r="DP8" s="3984"/>
      <c r="DQ8" s="1503"/>
      <c r="DR8" s="2413"/>
      <c r="DT8" s="564"/>
      <c r="DU8" s="564" t="str">
        <f>IF(T8="","",T8)</f>
        <v/>
      </c>
      <c r="DV8" s="564"/>
      <c r="DW8" s="564"/>
      <c r="DX8" s="1219">
        <v>0</v>
      </c>
    </row>
    <row customHeight="1" ht="21" hidden="1">
      <c r="A9" s="1427"/>
      <c r="B9" s="1427"/>
      <c r="C9" s="1427"/>
      <c r="D9" s="1427"/>
      <c r="E9" s="2323"/>
      <c r="F9" s="2323"/>
      <c r="G9" s="2323"/>
      <c r="H9" s="2323"/>
      <c r="I9" s="2350"/>
      <c r="J9" s="2320"/>
      <c r="K9" s="1427"/>
      <c r="L9" s="1428"/>
      <c r="P9" s="2321"/>
      <c r="Q9" s="2321"/>
      <c r="R9" s="420"/>
      <c r="S9" s="1342"/>
      <c r="T9" s="351" t="s">
        <v>487</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3987"/>
      <c r="AS9" s="3988"/>
      <c r="AT9" s="3989"/>
      <c r="AU9" s="3990"/>
      <c r="AV9" s="3991"/>
      <c r="AW9" s="3992"/>
      <c r="AX9" s="3993"/>
      <c r="AY9" s="3994"/>
      <c r="AZ9" s="3995"/>
      <c r="BA9" s="3996"/>
      <c r="BB9" s="3997"/>
      <c r="BC9" s="3998"/>
      <c r="BD9" s="3999"/>
      <c r="BE9" s="4000"/>
      <c r="BF9" s="4001"/>
      <c r="BG9" s="4002"/>
      <c r="BH9" s="4003"/>
      <c r="BI9" s="4004"/>
      <c r="BJ9" s="4005"/>
      <c r="BK9" s="4006"/>
      <c r="BL9" s="4007"/>
      <c r="BM9" s="4008"/>
      <c r="BN9" s="4009"/>
      <c r="BO9" s="4010"/>
      <c r="BP9" s="4011"/>
      <c r="BQ9" s="4012"/>
      <c r="BR9" s="4013"/>
      <c r="BS9" s="4014"/>
      <c r="BT9" s="4015"/>
      <c r="BU9" s="4016"/>
      <c r="BV9" s="4017"/>
      <c r="BW9" s="4018"/>
      <c r="BX9" s="4019"/>
      <c r="BY9" s="4020"/>
      <c r="BZ9" s="4021"/>
      <c r="CA9" s="4022"/>
      <c r="CB9" s="4023"/>
      <c r="CC9" s="4024"/>
      <c r="CD9" s="4025"/>
      <c r="CE9" s="4026"/>
      <c r="CF9" s="4027"/>
      <c r="CG9" s="4028"/>
      <c r="CH9" s="4029"/>
      <c r="CI9" s="4030"/>
      <c r="CJ9" s="4031"/>
      <c r="CK9" s="4032"/>
      <c r="CL9" s="4033"/>
      <c r="CM9" s="4034"/>
      <c r="CN9" s="4035"/>
      <c r="CO9" s="4036"/>
      <c r="CP9" s="4037"/>
      <c r="CQ9" s="4038"/>
      <c r="CR9" s="4039"/>
      <c r="CS9" s="4040"/>
      <c r="CT9" s="4041"/>
      <c r="CU9" s="4042"/>
      <c r="CV9" s="4043"/>
      <c r="CW9" s="4044"/>
      <c r="CX9" s="4045"/>
      <c r="CY9" s="4046"/>
      <c r="CZ9" s="4047"/>
      <c r="DA9" s="4048"/>
      <c r="DB9" s="4049"/>
      <c r="DC9" s="4050"/>
      <c r="DD9" s="4051"/>
      <c r="DE9" s="4052"/>
      <c r="DF9" s="4053"/>
      <c r="DG9" s="4054"/>
      <c r="DH9" s="4055"/>
      <c r="DI9" s="4056"/>
      <c r="DJ9" s="4057"/>
      <c r="DK9" s="4058"/>
      <c r="DL9" s="4059"/>
      <c r="DM9" s="4060"/>
      <c r="DN9" s="4061"/>
      <c r="DO9" s="4062"/>
      <c r="DP9" s="6197"/>
      <c r="DQ9" s="431"/>
      <c r="DR9" s="1322" t="s">
        <v>488</v>
      </c>
      <c r="DT9" s="564"/>
      <c r="DU9" s="564" t="str">
        <f>IF(T9="","",T9)</f>
        <v>Добавить значение признака дифференциации</v>
      </c>
      <c r="DV9" s="564"/>
      <c r="DW9" s="564"/>
      <c r="DX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064"/>
      <c r="AS10" s="4065"/>
      <c r="AT10" s="4066"/>
      <c r="AU10" s="4067"/>
      <c r="AV10" s="4068"/>
      <c r="AW10" s="4069"/>
      <c r="AX10" s="4070"/>
      <c r="AY10" s="4071"/>
      <c r="AZ10" s="4072"/>
      <c r="BA10" s="4073"/>
      <c r="BB10" s="4074"/>
      <c r="BC10" s="4075"/>
      <c r="BD10" s="4076"/>
      <c r="BE10" s="4077"/>
      <c r="BF10" s="4078"/>
      <c r="BG10" s="4079"/>
      <c r="BH10" s="4080"/>
      <c r="BI10" s="4081"/>
      <c r="BJ10" s="4082"/>
      <c r="BK10" s="4083"/>
      <c r="BL10" s="4084"/>
      <c r="BM10" s="4085"/>
      <c r="BN10" s="4086"/>
      <c r="BO10" s="4087"/>
      <c r="BP10" s="4088"/>
      <c r="BQ10" s="4089"/>
      <c r="BR10" s="4090"/>
      <c r="BS10" s="4091"/>
      <c r="BT10" s="4092"/>
      <c r="BU10" s="4093"/>
      <c r="BV10" s="4094"/>
      <c r="BW10" s="4095"/>
      <c r="BX10" s="4096"/>
      <c r="BY10" s="4097"/>
      <c r="BZ10" s="4098"/>
      <c r="CA10" s="4099"/>
      <c r="CB10" s="4100"/>
      <c r="CC10" s="4101"/>
      <c r="CD10" s="4102"/>
      <c r="CE10" s="4103"/>
      <c r="CF10" s="4104"/>
      <c r="CG10" s="4105"/>
      <c r="CH10" s="4106"/>
      <c r="CI10" s="4107"/>
      <c r="CJ10" s="4108"/>
      <c r="CK10" s="4109"/>
      <c r="CL10" s="4110"/>
      <c r="CM10" s="4111"/>
      <c r="CN10" s="4112"/>
      <c r="CO10" s="4113"/>
      <c r="CP10" s="4114"/>
      <c r="CQ10" s="4115"/>
      <c r="CR10" s="4116"/>
      <c r="CS10" s="4117"/>
      <c r="CT10" s="4118"/>
      <c r="CU10" s="4119"/>
      <c r="CV10" s="4120"/>
      <c r="CW10" s="4121"/>
      <c r="CX10" s="4122"/>
      <c r="CY10" s="4123"/>
      <c r="CZ10" s="4124"/>
      <c r="DA10" s="4125"/>
      <c r="DB10" s="4126"/>
      <c r="DC10" s="4127"/>
      <c r="DD10" s="4128"/>
      <c r="DE10" s="4129"/>
      <c r="DF10" s="4130"/>
      <c r="DG10" s="4131"/>
      <c r="DH10" s="4132"/>
      <c r="DI10" s="4133"/>
      <c r="DJ10" s="4134"/>
      <c r="DK10" s="4135"/>
      <c r="DL10" s="4136"/>
      <c r="DM10" s="4137"/>
      <c r="DN10" s="4138"/>
      <c r="DO10" s="4139"/>
      <c r="DP10" s="6198"/>
      <c r="DQ10" s="431"/>
      <c r="DR10" s="1504"/>
      <c r="DT10" s="564"/>
      <c r="DU10" s="564" t="str">
        <f>IF(T10="","",T10)</f>
        <v>Добавить группу потребителей</v>
      </c>
      <c r="DV10" s="564"/>
      <c r="DW10" s="564"/>
      <c r="DX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489</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141"/>
      <c r="AS11" s="4142"/>
      <c r="AT11" s="4143"/>
      <c r="AU11" s="4144"/>
      <c r="AV11" s="4145"/>
      <c r="AW11" s="4146"/>
      <c r="AX11" s="4147"/>
      <c r="AY11" s="4148"/>
      <c r="AZ11" s="4149"/>
      <c r="BA11" s="4150"/>
      <c r="BB11" s="4151"/>
      <c r="BC11" s="4152"/>
      <c r="BD11" s="4153"/>
      <c r="BE11" s="4154"/>
      <c r="BF11" s="4155"/>
      <c r="BG11" s="4156"/>
      <c r="BH11" s="4157"/>
      <c r="BI11" s="4158"/>
      <c r="BJ11" s="4159"/>
      <c r="BK11" s="4160"/>
      <c r="BL11" s="4161"/>
      <c r="BM11" s="4162"/>
      <c r="BN11" s="4163"/>
      <c r="BO11" s="4164"/>
      <c r="BP11" s="4165"/>
      <c r="BQ11" s="4166"/>
      <c r="BR11" s="4167"/>
      <c r="BS11" s="4168"/>
      <c r="BT11" s="4169"/>
      <c r="BU11" s="4170"/>
      <c r="BV11" s="4171"/>
      <c r="BW11" s="4172"/>
      <c r="BX11" s="4173"/>
      <c r="BY11" s="4174"/>
      <c r="BZ11" s="4175"/>
      <c r="CA11" s="4176"/>
      <c r="CB11" s="4177"/>
      <c r="CC11" s="4178"/>
      <c r="CD11" s="4179"/>
      <c r="CE11" s="4180"/>
      <c r="CF11" s="4181"/>
      <c r="CG11" s="4182"/>
      <c r="CH11" s="4183"/>
      <c r="CI11" s="4184"/>
      <c r="CJ11" s="4185"/>
      <c r="CK11" s="4186"/>
      <c r="CL11" s="4187"/>
      <c r="CM11" s="4188"/>
      <c r="CN11" s="4189"/>
      <c r="CO11" s="4190"/>
      <c r="CP11" s="4191"/>
      <c r="CQ11" s="4192"/>
      <c r="CR11" s="4193"/>
      <c r="CS11" s="4194"/>
      <c r="CT11" s="4195"/>
      <c r="CU11" s="4196"/>
      <c r="CV11" s="4197"/>
      <c r="CW11" s="4198"/>
      <c r="CX11" s="4199"/>
      <c r="CY11" s="4200"/>
      <c r="CZ11" s="4201"/>
      <c r="DA11" s="4202"/>
      <c r="DB11" s="4203"/>
      <c r="DC11" s="4204"/>
      <c r="DD11" s="4205"/>
      <c r="DE11" s="4206"/>
      <c r="DF11" s="4207"/>
      <c r="DG11" s="4208"/>
      <c r="DH11" s="4209"/>
      <c r="DI11" s="4210"/>
      <c r="DJ11" s="4211"/>
      <c r="DK11" s="4212"/>
      <c r="DL11" s="4213"/>
      <c r="DM11" s="4214"/>
      <c r="DN11" s="4215"/>
      <c r="DO11" s="4216"/>
      <c r="DP11" s="6199"/>
      <c r="DQ11" s="431"/>
      <c r="DR11" s="367"/>
      <c r="DT11" s="564"/>
      <c r="DU11" s="564" t="str">
        <f>IF(T11="","",T11)</f>
        <v>Добавить наименование признака дифференциации</v>
      </c>
      <c r="DV11" s="564"/>
      <c r="DW11" s="564"/>
      <c r="DX11" s="1219">
        <v>0</v>
      </c>
    </row>
    <row s="4976"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255</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4218"/>
      <c r="AS12" s="4218"/>
      <c r="AT12" s="4218"/>
      <c r="AU12" s="4218"/>
      <c r="AV12" s="4218"/>
      <c r="AW12" s="4218"/>
      <c r="AX12" s="4218"/>
      <c r="AY12" s="4218"/>
      <c r="AZ12" s="4218"/>
      <c r="BA12" s="4218"/>
      <c r="BB12" s="4218"/>
      <c r="BC12" s="4218"/>
      <c r="BD12" s="4218"/>
      <c r="BE12" s="4218"/>
      <c r="BF12" s="4218"/>
      <c r="BG12" s="4218"/>
      <c r="BH12" s="4218"/>
      <c r="BI12" s="4218"/>
      <c r="BJ12" s="4218"/>
      <c r="BK12" s="4218"/>
      <c r="BL12" s="4218"/>
      <c r="BM12" s="4218"/>
      <c r="BN12" s="4218"/>
      <c r="BO12" s="4218"/>
      <c r="BP12" s="4218"/>
      <c r="BQ12" s="4218"/>
      <c r="BR12" s="4218"/>
      <c r="BS12" s="4218"/>
      <c r="BT12" s="4218"/>
      <c r="BU12" s="4218"/>
      <c r="BV12" s="4218"/>
      <c r="BW12" s="4218"/>
      <c r="BX12" s="4218"/>
      <c r="BY12" s="4218"/>
      <c r="BZ12" s="4218"/>
      <c r="CA12" s="4218"/>
      <c r="CB12" s="4218"/>
      <c r="CC12" s="4218"/>
      <c r="CD12" s="4218"/>
      <c r="CE12" s="4218"/>
      <c r="CF12" s="4218"/>
      <c r="CG12" s="4218"/>
      <c r="CH12" s="4218"/>
      <c r="CI12" s="4218"/>
      <c r="CJ12" s="4218"/>
      <c r="CK12" s="4218"/>
      <c r="CL12" s="4218"/>
      <c r="CM12" s="4218"/>
      <c r="CN12" s="4218"/>
      <c r="CO12" s="4218"/>
      <c r="CP12" s="4218"/>
      <c r="CQ12" s="4218"/>
      <c r="CR12" s="4218"/>
      <c r="CS12" s="4218"/>
      <c r="CT12" s="4218"/>
      <c r="CU12" s="4218"/>
      <c r="CV12" s="4218"/>
      <c r="CW12" s="4218"/>
      <c r="CX12" s="4218"/>
      <c r="CY12" s="4218"/>
      <c r="CZ12" s="4218"/>
      <c r="DA12" s="4218"/>
      <c r="DB12" s="4218"/>
      <c r="DC12" s="4218"/>
      <c r="DD12" s="4218"/>
      <c r="DE12" s="4218"/>
      <c r="DF12" s="4218"/>
      <c r="DG12" s="4218"/>
      <c r="DH12" s="4218"/>
      <c r="DI12" s="4218"/>
      <c r="DJ12" s="4218"/>
      <c r="DK12" s="4218"/>
      <c r="DL12" s="4218"/>
      <c r="DM12" s="4218"/>
      <c r="DN12" s="4218"/>
      <c r="DO12" s="4218"/>
      <c r="DP12" s="6200"/>
      <c r="DQ12" s="1388"/>
      <c r="DR12" s="1388"/>
      <c r="DT12" s="853"/>
      <c r="DU12" s="853" t="str">
        <f>IF(T12="","",T12)</f>
        <v>Добавить централизованную систему для дифференциации</v>
      </c>
      <c r="DV12" s="853"/>
      <c r="DW12" s="853"/>
      <c r="DX12" s="582">
        <v>0</v>
      </c>
    </row>
    <row s="4976"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256</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4218"/>
      <c r="AS13" s="4218"/>
      <c r="AT13" s="4218"/>
      <c r="AU13" s="4218"/>
      <c r="AV13" s="4218"/>
      <c r="AW13" s="4218"/>
      <c r="AX13" s="4218"/>
      <c r="AY13" s="4218"/>
      <c r="AZ13" s="4218"/>
      <c r="BA13" s="4218"/>
      <c r="BB13" s="4218"/>
      <c r="BC13" s="4218"/>
      <c r="BD13" s="4218"/>
      <c r="BE13" s="4218"/>
      <c r="BF13" s="4218"/>
      <c r="BG13" s="4218"/>
      <c r="BH13" s="4218"/>
      <c r="BI13" s="4218"/>
      <c r="BJ13" s="4218"/>
      <c r="BK13" s="4218"/>
      <c r="BL13" s="4218"/>
      <c r="BM13" s="4218"/>
      <c r="BN13" s="4218"/>
      <c r="BO13" s="4218"/>
      <c r="BP13" s="4218"/>
      <c r="BQ13" s="4218"/>
      <c r="BR13" s="4218"/>
      <c r="BS13" s="4218"/>
      <c r="BT13" s="4218"/>
      <c r="BU13" s="4218"/>
      <c r="BV13" s="4218"/>
      <c r="BW13" s="4218"/>
      <c r="BX13" s="4218"/>
      <c r="BY13" s="4218"/>
      <c r="BZ13" s="4218"/>
      <c r="CA13" s="4218"/>
      <c r="CB13" s="4218"/>
      <c r="CC13" s="4218"/>
      <c r="CD13" s="4218"/>
      <c r="CE13" s="4218"/>
      <c r="CF13" s="4218"/>
      <c r="CG13" s="4218"/>
      <c r="CH13" s="4218"/>
      <c r="CI13" s="4218"/>
      <c r="CJ13" s="4218"/>
      <c r="CK13" s="4218"/>
      <c r="CL13" s="4218"/>
      <c r="CM13" s="4218"/>
      <c r="CN13" s="4218"/>
      <c r="CO13" s="4218"/>
      <c r="CP13" s="4218"/>
      <c r="CQ13" s="4218"/>
      <c r="CR13" s="4218"/>
      <c r="CS13" s="4218"/>
      <c r="CT13" s="4218"/>
      <c r="CU13" s="4218"/>
      <c r="CV13" s="4218"/>
      <c r="CW13" s="4218"/>
      <c r="CX13" s="4218"/>
      <c r="CY13" s="4218"/>
      <c r="CZ13" s="4218"/>
      <c r="DA13" s="4218"/>
      <c r="DB13" s="4218"/>
      <c r="DC13" s="4218"/>
      <c r="DD13" s="4218"/>
      <c r="DE13" s="4218"/>
      <c r="DF13" s="4218"/>
      <c r="DG13" s="4218"/>
      <c r="DH13" s="4218"/>
      <c r="DI13" s="4218"/>
      <c r="DJ13" s="4218"/>
      <c r="DK13" s="4218"/>
      <c r="DL13" s="4218"/>
      <c r="DM13" s="4218"/>
      <c r="DN13" s="4218"/>
      <c r="DO13" s="4218"/>
      <c r="DP13" s="6200"/>
      <c r="DQ13" s="1388"/>
      <c r="DR13" s="1388"/>
      <c r="DT13" s="564"/>
      <c r="DU13" s="564" t="str">
        <f>IF(T13="","",T13)</f>
        <v>Добавить территорию для дифференциации</v>
      </c>
      <c r="DV13" s="564"/>
      <c r="DW13" s="564"/>
      <c r="DX13" s="575">
        <v>0</v>
      </c>
    </row>
    <row customHeight="1" ht="14.25" hidden="1">
      <c r="AF14" s="391"/>
      <c r="AQ14" s="391"/>
      <c r="AR14" s="3972"/>
      <c r="AS14" s="3972"/>
      <c r="AT14" s="3972"/>
      <c r="AU14" s="3972"/>
      <c r="AV14" s="3972"/>
      <c r="AW14" s="3972"/>
      <c r="AX14" s="3972"/>
      <c r="AY14" s="3972"/>
      <c r="AZ14" s="3972"/>
      <c r="BA14" s="3972"/>
      <c r="BB14" s="3972"/>
      <c r="BC14" s="3972"/>
      <c r="BD14" s="3972"/>
      <c r="BE14" s="3972"/>
      <c r="BF14" s="3972"/>
      <c r="BG14" s="3972"/>
      <c r="BH14" s="3972"/>
      <c r="BI14" s="3972"/>
      <c r="BJ14" s="3972"/>
      <c r="BK14" s="3972"/>
      <c r="BL14" s="3972"/>
      <c r="BM14" s="3972"/>
      <c r="BN14" s="3972"/>
      <c r="BO14" s="3972"/>
      <c r="BP14" s="3972"/>
      <c r="BQ14" s="3972"/>
      <c r="BR14" s="3972"/>
      <c r="BS14" s="3972"/>
      <c r="BT14" s="3972"/>
      <c r="BU14" s="3972"/>
      <c r="BV14" s="3972"/>
      <c r="BW14" s="3972"/>
      <c r="BX14" s="3972"/>
      <c r="BY14" s="3972"/>
      <c r="BZ14" s="3972"/>
      <c r="CA14" s="3972"/>
      <c r="CB14" s="3972"/>
      <c r="CC14" s="3972"/>
      <c r="CD14" s="3972"/>
      <c r="CE14" s="3972"/>
      <c r="CF14" s="3972"/>
      <c r="CG14" s="3972"/>
      <c r="CH14" s="3972"/>
      <c r="CI14" s="3972"/>
      <c r="CJ14" s="3972"/>
      <c r="CK14" s="3972"/>
      <c r="CL14" s="3972"/>
      <c r="CM14" s="3972"/>
      <c r="CN14" s="3972"/>
      <c r="CO14" s="3972"/>
      <c r="CP14" s="3972"/>
      <c r="CQ14" s="3972"/>
      <c r="CR14" s="3972"/>
      <c r="CS14" s="3972"/>
      <c r="CT14" s="3972"/>
      <c r="CU14" s="3972"/>
      <c r="CV14" s="3972"/>
      <c r="CW14" s="3972"/>
      <c r="CX14" s="3972"/>
      <c r="CY14" s="3972"/>
      <c r="CZ14" s="3972"/>
      <c r="DA14" s="3972"/>
      <c r="DB14" s="3972"/>
      <c r="DC14" s="3972"/>
      <c r="DD14" s="3972"/>
      <c r="DE14" s="3972"/>
      <c r="DF14" s="3972"/>
      <c r="DG14" s="3972"/>
      <c r="DH14" s="3972"/>
      <c r="DI14" s="3972"/>
      <c r="DJ14" s="3972"/>
      <c r="DK14" s="3972"/>
      <c r="DL14" s="3972"/>
      <c r="DM14" s="3972"/>
      <c r="DN14" s="3972"/>
      <c r="DO14" s="3972"/>
      <c r="DP14" s="6192"/>
      <c r="DX14" s="1219">
        <v>0</v>
      </c>
    </row>
    <row customHeight="1" ht="14.25" hidden="1">
      <c r="AG15" s="1424"/>
      <c r="AH15" s="1424"/>
      <c r="AI15" s="1424"/>
      <c r="AJ15" s="1424"/>
      <c r="AK15" s="1424"/>
      <c r="AL15" s="1424"/>
      <c r="AM15" s="1424"/>
      <c r="AN15" s="2331"/>
      <c r="AO15" s="2332" t="s">
        <v>62</v>
      </c>
      <c r="AP15" s="2331"/>
      <c r="AQ15" s="2332" t="s">
        <v>62</v>
      </c>
      <c r="AR15" s="3972"/>
      <c r="AS15" s="3972"/>
      <c r="AT15" s="3972"/>
      <c r="AU15" s="3972"/>
      <c r="AV15" s="3972"/>
      <c r="AW15" s="3972"/>
      <c r="AX15" s="3972"/>
      <c r="AY15" s="3972"/>
      <c r="AZ15" s="3972"/>
      <c r="BA15" s="3972"/>
      <c r="BB15" s="3972"/>
      <c r="BC15" s="3972"/>
      <c r="BD15" s="3972"/>
      <c r="BE15" s="3972"/>
      <c r="BF15" s="3972"/>
      <c r="BG15" s="3972"/>
      <c r="BH15" s="3972"/>
      <c r="BI15" s="3972"/>
      <c r="BJ15" s="3972"/>
      <c r="BK15" s="3972"/>
      <c r="BL15" s="3972"/>
      <c r="BM15" s="3972"/>
      <c r="BN15" s="3972"/>
      <c r="BO15" s="3972"/>
      <c r="BP15" s="3972"/>
      <c r="BQ15" s="3972"/>
      <c r="BR15" s="3972"/>
      <c r="BS15" s="3972"/>
      <c r="BT15" s="3972"/>
      <c r="BU15" s="3972"/>
      <c r="BV15" s="3972"/>
      <c r="BW15" s="3972"/>
      <c r="BX15" s="3972"/>
      <c r="BY15" s="3972"/>
      <c r="BZ15" s="3972"/>
      <c r="CA15" s="3972"/>
      <c r="CB15" s="3972"/>
      <c r="CC15" s="3972"/>
      <c r="CD15" s="3972"/>
      <c r="CE15" s="3972"/>
      <c r="CF15" s="3972"/>
      <c r="CG15" s="3972"/>
      <c r="CH15" s="3972"/>
      <c r="CI15" s="3972"/>
      <c r="CJ15" s="3972"/>
      <c r="CK15" s="3972"/>
      <c r="CL15" s="3972"/>
      <c r="CM15" s="3972"/>
      <c r="CN15" s="3972"/>
      <c r="CO15" s="3972"/>
      <c r="CP15" s="3972"/>
      <c r="CQ15" s="3972"/>
      <c r="CR15" s="3972"/>
      <c r="CS15" s="3972"/>
      <c r="CT15" s="3972"/>
      <c r="CU15" s="3972"/>
      <c r="CV15" s="3972"/>
      <c r="CW15" s="3972"/>
      <c r="CX15" s="3972"/>
      <c r="CY15" s="3972"/>
      <c r="CZ15" s="3972"/>
      <c r="DA15" s="3972"/>
      <c r="DB15" s="3972"/>
      <c r="DC15" s="3972"/>
      <c r="DD15" s="3972"/>
      <c r="DE15" s="3972"/>
      <c r="DF15" s="3972"/>
      <c r="DG15" s="3972"/>
      <c r="DH15" s="3972"/>
      <c r="DI15" s="3972"/>
      <c r="DJ15" s="3972"/>
      <c r="DK15" s="3972"/>
      <c r="DL15" s="3972"/>
      <c r="DM15" s="3972"/>
      <c r="DN15" s="3972"/>
      <c r="DO15" s="3972"/>
      <c r="DP15" s="6192"/>
      <c r="DX15" s="1219">
        <v>0</v>
      </c>
    </row>
    <row customHeight="1" ht="14.25" hidden="1">
      <c r="AG16" s="1424"/>
      <c r="AH16" s="1424"/>
      <c r="AI16" s="1424"/>
      <c r="AJ16" s="1424"/>
      <c r="AK16" s="1424"/>
      <c r="AL16" s="1424"/>
      <c r="AM16" s="1424"/>
      <c r="AN16" s="2332"/>
      <c r="AO16" s="2332"/>
      <c r="AP16" s="2332"/>
      <c r="AQ16" s="2332"/>
      <c r="AR16" s="3972"/>
      <c r="AS16" s="3972"/>
      <c r="AT16" s="3972"/>
      <c r="AU16" s="3972"/>
      <c r="AV16" s="3972"/>
      <c r="AW16" s="3972"/>
      <c r="AX16" s="3972"/>
      <c r="AY16" s="3972"/>
      <c r="AZ16" s="3972"/>
      <c r="BA16" s="3972"/>
      <c r="BB16" s="3972"/>
      <c r="BC16" s="3972"/>
      <c r="BD16" s="3972"/>
      <c r="BE16" s="3972"/>
      <c r="BF16" s="3972"/>
      <c r="BG16" s="3972"/>
      <c r="BH16" s="3972"/>
      <c r="BI16" s="3972"/>
      <c r="BJ16" s="3972"/>
      <c r="BK16" s="3972"/>
      <c r="BL16" s="3972"/>
      <c r="BM16" s="3972"/>
      <c r="BN16" s="3972"/>
      <c r="BO16" s="3972"/>
      <c r="BP16" s="3972"/>
      <c r="BQ16" s="3972"/>
      <c r="BR16" s="3972"/>
      <c r="BS16" s="3972"/>
      <c r="BT16" s="3972"/>
      <c r="BU16" s="3972"/>
      <c r="BV16" s="3972"/>
      <c r="BW16" s="3972"/>
      <c r="BX16" s="3972"/>
      <c r="BY16" s="3972"/>
      <c r="BZ16" s="3972"/>
      <c r="CA16" s="3972"/>
      <c r="CB16" s="3972"/>
      <c r="CC16" s="3972"/>
      <c r="CD16" s="3972"/>
      <c r="CE16" s="3972"/>
      <c r="CF16" s="3972"/>
      <c r="CG16" s="3972"/>
      <c r="CH16" s="3972"/>
      <c r="CI16" s="3972"/>
      <c r="CJ16" s="3972"/>
      <c r="CK16" s="3972"/>
      <c r="CL16" s="3972"/>
      <c r="CM16" s="3972"/>
      <c r="CN16" s="3972"/>
      <c r="CO16" s="3972"/>
      <c r="CP16" s="3972"/>
      <c r="CQ16" s="3972"/>
      <c r="CR16" s="3972"/>
      <c r="CS16" s="3972"/>
      <c r="CT16" s="3972"/>
      <c r="CU16" s="3972"/>
      <c r="CV16" s="3972"/>
      <c r="CW16" s="3972"/>
      <c r="CX16" s="3972"/>
      <c r="CY16" s="3972"/>
      <c r="CZ16" s="3972"/>
      <c r="DA16" s="3972"/>
      <c r="DB16" s="3972"/>
      <c r="DC16" s="3972"/>
      <c r="DD16" s="3972"/>
      <c r="DE16" s="3972"/>
      <c r="DF16" s="3972"/>
      <c r="DG16" s="3972"/>
      <c r="DH16" s="3972"/>
      <c r="DI16" s="3972"/>
      <c r="DJ16" s="3972"/>
      <c r="DK16" s="3972"/>
      <c r="DL16" s="3972"/>
      <c r="DM16" s="3972"/>
      <c r="DN16" s="3972"/>
      <c r="DO16" s="3972"/>
      <c r="DP16" s="6192"/>
      <c r="DX16" s="1219">
        <v>0</v>
      </c>
    </row>
    <row customHeight="1" ht="14.25" hidden="1">
      <c r="AQ17" s="391"/>
      <c r="AR17" s="3972"/>
      <c r="AS17" s="3972"/>
      <c r="AT17" s="3972"/>
      <c r="AU17" s="3972"/>
      <c r="AV17" s="3972"/>
      <c r="AW17" s="3972"/>
      <c r="AX17" s="3972"/>
      <c r="AY17" s="3972"/>
      <c r="AZ17" s="3972"/>
      <c r="BA17" s="3972"/>
      <c r="BB17" s="3972"/>
      <c r="BC17" s="3972"/>
      <c r="BD17" s="3972"/>
      <c r="BE17" s="3972"/>
      <c r="BF17" s="3972"/>
      <c r="BG17" s="3972"/>
      <c r="BH17" s="3972"/>
      <c r="BI17" s="3972"/>
      <c r="BJ17" s="3972"/>
      <c r="BK17" s="3972"/>
      <c r="BL17" s="3972"/>
      <c r="BM17" s="3972"/>
      <c r="BN17" s="3972"/>
      <c r="BO17" s="3972"/>
      <c r="BP17" s="3972"/>
      <c r="BQ17" s="3972"/>
      <c r="BR17" s="3972"/>
      <c r="BS17" s="3972"/>
      <c r="BT17" s="3972"/>
      <c r="BU17" s="3972"/>
      <c r="BV17" s="3972"/>
      <c r="BW17" s="3972"/>
      <c r="BX17" s="3972"/>
      <c r="BY17" s="3972"/>
      <c r="BZ17" s="3972"/>
      <c r="CA17" s="3972"/>
      <c r="CB17" s="3972"/>
      <c r="CC17" s="3972"/>
      <c r="CD17" s="3972"/>
      <c r="CE17" s="3972"/>
      <c r="CF17" s="3972"/>
      <c r="CG17" s="3972"/>
      <c r="CH17" s="3972"/>
      <c r="CI17" s="3972"/>
      <c r="CJ17" s="3972"/>
      <c r="CK17" s="3972"/>
      <c r="CL17" s="3972"/>
      <c r="CM17" s="3972"/>
      <c r="CN17" s="3972"/>
      <c r="CO17" s="3972"/>
      <c r="CP17" s="3972"/>
      <c r="CQ17" s="3972"/>
      <c r="CR17" s="3972"/>
      <c r="CS17" s="3972"/>
      <c r="CT17" s="3972"/>
      <c r="CU17" s="3972"/>
      <c r="CV17" s="3972"/>
      <c r="CW17" s="3972"/>
      <c r="CX17" s="3972"/>
      <c r="CY17" s="3972"/>
      <c r="CZ17" s="3972"/>
      <c r="DA17" s="3972"/>
      <c r="DB17" s="3972"/>
      <c r="DC17" s="3972"/>
      <c r="DD17" s="3972"/>
      <c r="DE17" s="3972"/>
      <c r="DF17" s="3972"/>
      <c r="DG17" s="3972"/>
      <c r="DH17" s="3972"/>
      <c r="DI17" s="3972"/>
      <c r="DJ17" s="3972"/>
      <c r="DK17" s="3972"/>
      <c r="DL17" s="3972"/>
      <c r="DM17" s="3972"/>
      <c r="DN17" s="3972"/>
      <c r="DO17" s="3972"/>
      <c r="DP17" s="6192"/>
      <c r="DX17" s="1219">
        <v>0</v>
      </c>
    </row>
    <row s="5416" customFormat="1" customHeight="1" ht="22.5" hidden="1">
      <c r="L18" s="1542"/>
      <c r="M18" s="1426"/>
      <c r="N18" s="1426"/>
      <c r="O18" s="1431" t="s">
        <v>419</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R18" s="4219"/>
      <c r="AS18" s="4219"/>
      <c r="AT18" s="4219"/>
      <c r="AU18" s="4219"/>
      <c r="AV18" s="4219"/>
      <c r="AW18" s="4219"/>
      <c r="AX18" s="4219"/>
      <c r="AY18" s="4220"/>
      <c r="AZ18" s="4219"/>
      <c r="BA18" s="4220"/>
      <c r="BB18" s="4219"/>
      <c r="BC18" s="4219"/>
      <c r="BD18" s="4219"/>
      <c r="BE18" s="4219"/>
      <c r="BF18" s="4219"/>
      <c r="BG18" s="4219"/>
      <c r="BH18" s="4219"/>
      <c r="BI18" s="4219"/>
      <c r="BJ18" s="4220"/>
      <c r="BK18" s="4219"/>
      <c r="BL18" s="4220"/>
      <c r="BM18" s="4219"/>
      <c r="BN18" s="4219"/>
      <c r="BO18" s="4219"/>
      <c r="BP18" s="4219"/>
      <c r="BQ18" s="4219"/>
      <c r="BR18" s="4219"/>
      <c r="BS18" s="4219"/>
      <c r="BT18" s="4219"/>
      <c r="BU18" s="4220"/>
      <c r="BV18" s="4219"/>
      <c r="BW18" s="4220"/>
      <c r="BX18" s="4219"/>
      <c r="BY18" s="4219"/>
      <c r="BZ18" s="4219"/>
      <c r="CA18" s="4219"/>
      <c r="CB18" s="4219"/>
      <c r="CC18" s="4219"/>
      <c r="CD18" s="4219"/>
      <c r="CE18" s="4219"/>
      <c r="CF18" s="4220"/>
      <c r="CG18" s="4219"/>
      <c r="CH18" s="4220"/>
      <c r="CI18" s="4219"/>
      <c r="CJ18" s="4219"/>
      <c r="CK18" s="4219"/>
      <c r="CL18" s="4219"/>
      <c r="CM18" s="4219"/>
      <c r="CN18" s="4219"/>
      <c r="CO18" s="4219"/>
      <c r="CP18" s="4219"/>
      <c r="CQ18" s="4220"/>
      <c r="CR18" s="4219"/>
      <c r="CS18" s="4220"/>
      <c r="CT18" s="4219"/>
      <c r="CU18" s="4219"/>
      <c r="CV18" s="4219"/>
      <c r="CW18" s="4219"/>
      <c r="CX18" s="4219"/>
      <c r="CY18" s="4219"/>
      <c r="CZ18" s="4219"/>
      <c r="DA18" s="4219"/>
      <c r="DB18" s="4220"/>
      <c r="DC18" s="4219"/>
      <c r="DD18" s="4220"/>
      <c r="DE18" s="4219"/>
      <c r="DF18" s="4219"/>
      <c r="DG18" s="4219"/>
      <c r="DH18" s="4219"/>
      <c r="DI18" s="4219"/>
      <c r="DJ18" s="4219"/>
      <c r="DK18" s="4219"/>
      <c r="DL18" s="4219"/>
      <c r="DM18" s="4220"/>
      <c r="DN18" s="4219"/>
      <c r="DO18" s="4220"/>
      <c r="DP18" s="6201"/>
      <c r="DS18" s="575"/>
      <c r="DT18" s="575"/>
      <c r="DU18" s="575"/>
      <c r="DV18" s="575"/>
      <c r="DW18" s="575"/>
      <c r="DX18" s="1224">
        <v>0</v>
      </c>
    </row>
    <row s="5416"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R19" s="4219"/>
      <c r="AS19" s="4219"/>
      <c r="AT19" s="4219"/>
      <c r="AU19" s="4219"/>
      <c r="AV19" s="4219"/>
      <c r="AW19" s="4219"/>
      <c r="AX19" s="4219"/>
      <c r="AY19" s="4219"/>
      <c r="AZ19" s="4219"/>
      <c r="BA19" s="4219"/>
      <c r="BB19" s="4219"/>
      <c r="BC19" s="4219"/>
      <c r="BD19" s="4219"/>
      <c r="BE19" s="4219"/>
      <c r="BF19" s="4219"/>
      <c r="BG19" s="4219"/>
      <c r="BH19" s="4219"/>
      <c r="BI19" s="4219"/>
      <c r="BJ19" s="4219"/>
      <c r="BK19" s="4219"/>
      <c r="BL19" s="4219"/>
      <c r="BM19" s="4219"/>
      <c r="BN19" s="4219"/>
      <c r="BO19" s="4219"/>
      <c r="BP19" s="4219"/>
      <c r="BQ19" s="4219"/>
      <c r="BR19" s="4219"/>
      <c r="BS19" s="4219"/>
      <c r="BT19" s="4219"/>
      <c r="BU19" s="4219"/>
      <c r="BV19" s="4219"/>
      <c r="BW19" s="4219"/>
      <c r="BX19" s="4219"/>
      <c r="BY19" s="4219"/>
      <c r="BZ19" s="4219"/>
      <c r="CA19" s="4219"/>
      <c r="CB19" s="4219"/>
      <c r="CC19" s="4219"/>
      <c r="CD19" s="4219"/>
      <c r="CE19" s="4219"/>
      <c r="CF19" s="4219"/>
      <c r="CG19" s="4219"/>
      <c r="CH19" s="4219"/>
      <c r="CI19" s="4219"/>
      <c r="CJ19" s="4219"/>
      <c r="CK19" s="4219"/>
      <c r="CL19" s="4219"/>
      <c r="CM19" s="4219"/>
      <c r="CN19" s="4219"/>
      <c r="CO19" s="4219"/>
      <c r="CP19" s="4219"/>
      <c r="CQ19" s="4219"/>
      <c r="CR19" s="4219"/>
      <c r="CS19" s="4219"/>
      <c r="CT19" s="4219"/>
      <c r="CU19" s="4219"/>
      <c r="CV19" s="4219"/>
      <c r="CW19" s="4219"/>
      <c r="CX19" s="4219"/>
      <c r="CY19" s="4219"/>
      <c r="CZ19" s="4219"/>
      <c r="DA19" s="4219"/>
      <c r="DB19" s="4219"/>
      <c r="DC19" s="4219"/>
      <c r="DD19" s="4219"/>
      <c r="DE19" s="4219"/>
      <c r="DF19" s="4219"/>
      <c r="DG19" s="4219"/>
      <c r="DH19" s="4219"/>
      <c r="DI19" s="4219"/>
      <c r="DJ19" s="4219"/>
      <c r="DK19" s="4219"/>
      <c r="DL19" s="4219"/>
      <c r="DM19" s="4219"/>
      <c r="DN19" s="4219"/>
      <c r="DO19" s="4219"/>
      <c r="DP19" s="6201"/>
      <c r="DS19" s="575"/>
      <c r="DT19" s="575"/>
      <c r="DU19" s="575"/>
      <c r="DV19" s="575"/>
      <c r="DW19" s="575"/>
      <c r="DX19" s="1224">
        <v>0</v>
      </c>
    </row>
    <row s="5416" customFormat="1" customHeight="1" ht="12" hidden="1">
      <c r="L20" s="1542"/>
      <c r="M20" s="1426"/>
      <c r="N20" s="1426"/>
      <c r="O20" s="1428" t="s">
        <v>420</v>
      </c>
      <c r="P20" s="1426"/>
      <c r="Q20" s="1506"/>
      <c r="R20" s="1506"/>
      <c r="S20" s="793"/>
      <c r="T20" s="1224" t="s">
        <v>421</v>
      </c>
      <c r="W20" s="1430"/>
      <c r="X20" s="1430"/>
      <c r="Y20" s="1430"/>
      <c r="Z20" s="1430"/>
      <c r="AA20" s="1430"/>
      <c r="AB20" s="1430"/>
      <c r="AD20" s="250" t="s">
        <v>422</v>
      </c>
      <c r="AF20" s="250" t="s">
        <v>423</v>
      </c>
      <c r="AG20" s="1224" t="s">
        <v>421</v>
      </c>
      <c r="AH20" s="1430"/>
      <c r="AI20" s="1430"/>
      <c r="AJ20" s="1430"/>
      <c r="AK20" s="1430"/>
      <c r="AL20" s="1430"/>
      <c r="AO20" s="250" t="s">
        <v>424</v>
      </c>
      <c r="AQ20" s="250" t="s">
        <v>423</v>
      </c>
      <c r="AR20" s="4219"/>
      <c r="AS20" s="4219"/>
      <c r="AT20" s="4219"/>
      <c r="AU20" s="4219"/>
      <c r="AV20" s="4219"/>
      <c r="AW20" s="4219"/>
      <c r="AX20" s="4219"/>
      <c r="AY20" s="4219"/>
      <c r="AZ20" s="4221" t="s">
        <v>422</v>
      </c>
      <c r="BA20" s="4219"/>
      <c r="BB20" s="4221" t="s">
        <v>423</v>
      </c>
      <c r="BC20" s="4219"/>
      <c r="BD20" s="4219"/>
      <c r="BE20" s="4219"/>
      <c r="BF20" s="4219"/>
      <c r="BG20" s="4219"/>
      <c r="BH20" s="4219"/>
      <c r="BI20" s="4219"/>
      <c r="BJ20" s="4219"/>
      <c r="BK20" s="4221" t="s">
        <v>422</v>
      </c>
      <c r="BL20" s="4219"/>
      <c r="BM20" s="4221" t="s">
        <v>423</v>
      </c>
      <c r="BN20" s="4219"/>
      <c r="BO20" s="4219"/>
      <c r="BP20" s="4219"/>
      <c r="BQ20" s="4219"/>
      <c r="BR20" s="4219"/>
      <c r="BS20" s="4219"/>
      <c r="BT20" s="4219"/>
      <c r="BU20" s="4219"/>
      <c r="BV20" s="4221" t="s">
        <v>422</v>
      </c>
      <c r="BW20" s="4219"/>
      <c r="BX20" s="4221" t="s">
        <v>423</v>
      </c>
      <c r="BY20" s="4219"/>
      <c r="BZ20" s="4219"/>
      <c r="CA20" s="4219"/>
      <c r="CB20" s="4219"/>
      <c r="CC20" s="4219"/>
      <c r="CD20" s="4219"/>
      <c r="CE20" s="4219"/>
      <c r="CF20" s="4219"/>
      <c r="CG20" s="4221" t="s">
        <v>422</v>
      </c>
      <c r="CH20" s="4219"/>
      <c r="CI20" s="4221" t="s">
        <v>423</v>
      </c>
      <c r="CJ20" s="4219"/>
      <c r="CK20" s="4219"/>
      <c r="CL20" s="4219"/>
      <c r="CM20" s="4219"/>
      <c r="CN20" s="4219"/>
      <c r="CO20" s="4219"/>
      <c r="CP20" s="4219"/>
      <c r="CQ20" s="4219"/>
      <c r="CR20" s="4221" t="s">
        <v>422</v>
      </c>
      <c r="CS20" s="4219"/>
      <c r="CT20" s="4221" t="s">
        <v>423</v>
      </c>
      <c r="CU20" s="4219"/>
      <c r="CV20" s="4219"/>
      <c r="CW20" s="4219"/>
      <c r="CX20" s="4219"/>
      <c r="CY20" s="4219"/>
      <c r="CZ20" s="4219"/>
      <c r="DA20" s="4219"/>
      <c r="DB20" s="4219"/>
      <c r="DC20" s="4221" t="s">
        <v>422</v>
      </c>
      <c r="DD20" s="4219"/>
      <c r="DE20" s="4221" t="s">
        <v>423</v>
      </c>
      <c r="DF20" s="4219"/>
      <c r="DG20" s="4219"/>
      <c r="DH20" s="4219"/>
      <c r="DI20" s="4219"/>
      <c r="DJ20" s="4219"/>
      <c r="DK20" s="4219"/>
      <c r="DL20" s="4219"/>
      <c r="DM20" s="4219"/>
      <c r="DN20" s="4221" t="s">
        <v>422</v>
      </c>
      <c r="DO20" s="4219"/>
      <c r="DP20" s="6202" t="s">
        <v>423</v>
      </c>
      <c r="DX20" s="1224">
        <v>0</v>
      </c>
    </row>
    <row customHeight="1" ht="14.25" hidden="1">
      <c r="O21" s="1428"/>
      <c r="AR21" s="3972"/>
      <c r="AS21" s="3972"/>
      <c r="AT21" s="3972"/>
      <c r="AU21" s="3972"/>
      <c r="AV21" s="3972"/>
      <c r="AW21" s="3972"/>
      <c r="AX21" s="3972"/>
      <c r="AY21" s="3972"/>
      <c r="AZ21" s="3972"/>
      <c r="BA21" s="3972"/>
      <c r="BB21" s="3972"/>
      <c r="BC21" s="3972"/>
      <c r="BD21" s="3972"/>
      <c r="BE21" s="3972"/>
      <c r="BF21" s="3972"/>
      <c r="BG21" s="3972"/>
      <c r="BH21" s="3972"/>
      <c r="BI21" s="3972"/>
      <c r="BJ21" s="3972"/>
      <c r="BK21" s="3972"/>
      <c r="BL21" s="3972"/>
      <c r="BM21" s="3972"/>
      <c r="BN21" s="3972"/>
      <c r="BO21" s="3972"/>
      <c r="BP21" s="3972"/>
      <c r="BQ21" s="3972"/>
      <c r="BR21" s="3972"/>
      <c r="BS21" s="3972"/>
      <c r="BT21" s="3972"/>
      <c r="BU21" s="3972"/>
      <c r="BV21" s="3972"/>
      <c r="BW21" s="3972"/>
      <c r="BX21" s="3972"/>
      <c r="BY21" s="3972"/>
      <c r="BZ21" s="3972"/>
      <c r="CA21" s="3972"/>
      <c r="CB21" s="3972"/>
      <c r="CC21" s="3972"/>
      <c r="CD21" s="3972"/>
      <c r="CE21" s="3972"/>
      <c r="CF21" s="3972"/>
      <c r="CG21" s="3972"/>
      <c r="CH21" s="3972"/>
      <c r="CI21" s="3972"/>
      <c r="CJ21" s="3972"/>
      <c r="CK21" s="3972"/>
      <c r="CL21" s="3972"/>
      <c r="CM21" s="3972"/>
      <c r="CN21" s="3972"/>
      <c r="CO21" s="3972"/>
      <c r="CP21" s="3972"/>
      <c r="CQ21" s="3972"/>
      <c r="CR21" s="3972"/>
      <c r="CS21" s="3972"/>
      <c r="CT21" s="3972"/>
      <c r="CU21" s="3972"/>
      <c r="CV21" s="3972"/>
      <c r="CW21" s="3972"/>
      <c r="CX21" s="3972"/>
      <c r="CY21" s="3972"/>
      <c r="CZ21" s="3972"/>
      <c r="DA21" s="3972"/>
      <c r="DB21" s="3972"/>
      <c r="DC21" s="3972"/>
      <c r="DD21" s="3972"/>
      <c r="DE21" s="3972"/>
      <c r="DF21" s="3972"/>
      <c r="DG21" s="3972"/>
      <c r="DH21" s="3972"/>
      <c r="DI21" s="3972"/>
      <c r="DJ21" s="3972"/>
      <c r="DK21" s="3972"/>
      <c r="DL21" s="3972"/>
      <c r="DM21" s="3972"/>
      <c r="DN21" s="3972"/>
      <c r="DO21" s="3972"/>
      <c r="DP21" s="6192"/>
      <c r="DX21" s="1219">
        <v>0</v>
      </c>
    </row>
    <row customHeight="1" ht="14.25" hidden="1">
      <c r="O22" s="1428"/>
      <c r="AR22" s="3972"/>
      <c r="AS22" s="3972"/>
      <c r="AT22" s="3972"/>
      <c r="AU22" s="3972"/>
      <c r="AV22" s="3972"/>
      <c r="AW22" s="3972"/>
      <c r="AX22" s="3972"/>
      <c r="AY22" s="3972"/>
      <c r="AZ22" s="3972"/>
      <c r="BA22" s="3972"/>
      <c r="BB22" s="3972"/>
      <c r="BC22" s="3972"/>
      <c r="BD22" s="3972"/>
      <c r="BE22" s="3972"/>
      <c r="BF22" s="3972"/>
      <c r="BG22" s="3972"/>
      <c r="BH22" s="3972"/>
      <c r="BI22" s="3972"/>
      <c r="BJ22" s="3972"/>
      <c r="BK22" s="3972"/>
      <c r="BL22" s="3972"/>
      <c r="BM22" s="3972"/>
      <c r="BN22" s="3972"/>
      <c r="BO22" s="3972"/>
      <c r="BP22" s="3972"/>
      <c r="BQ22" s="3972"/>
      <c r="BR22" s="3972"/>
      <c r="BS22" s="3972"/>
      <c r="BT22" s="3972"/>
      <c r="BU22" s="3972"/>
      <c r="BV22" s="3972"/>
      <c r="BW22" s="3972"/>
      <c r="BX22" s="3972"/>
      <c r="BY22" s="3972"/>
      <c r="BZ22" s="3972"/>
      <c r="CA22" s="3972"/>
      <c r="CB22" s="3972"/>
      <c r="CC22" s="3972"/>
      <c r="CD22" s="3972"/>
      <c r="CE22" s="3972"/>
      <c r="CF22" s="3972"/>
      <c r="CG22" s="3972"/>
      <c r="CH22" s="3972"/>
      <c r="CI22" s="3972"/>
      <c r="CJ22" s="3972"/>
      <c r="CK22" s="3972"/>
      <c r="CL22" s="3972"/>
      <c r="CM22" s="3972"/>
      <c r="CN22" s="3972"/>
      <c r="CO22" s="3972"/>
      <c r="CP22" s="3972"/>
      <c r="CQ22" s="3972"/>
      <c r="CR22" s="3972"/>
      <c r="CS22" s="3972"/>
      <c r="CT22" s="3972"/>
      <c r="CU22" s="3972"/>
      <c r="CV22" s="3972"/>
      <c r="CW22" s="3972"/>
      <c r="CX22" s="3972"/>
      <c r="CY22" s="3972"/>
      <c r="CZ22" s="3972"/>
      <c r="DA22" s="3972"/>
      <c r="DB22" s="3972"/>
      <c r="DC22" s="3972"/>
      <c r="DD22" s="3972"/>
      <c r="DE22" s="3972"/>
      <c r="DF22" s="3972"/>
      <c r="DG22" s="3972"/>
      <c r="DH22" s="3972"/>
      <c r="DI22" s="3972"/>
      <c r="DJ22" s="3972"/>
      <c r="DK22" s="3972"/>
      <c r="DL22" s="3972"/>
      <c r="DM22" s="3972"/>
      <c r="DN22" s="3972"/>
      <c r="DO22" s="3972"/>
      <c r="DP22" s="6192"/>
      <c r="DX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R23" s="3972"/>
      <c r="AS23" s="3972"/>
      <c r="AT23" s="3972"/>
      <c r="AU23" s="3972"/>
      <c r="AV23" s="3972"/>
      <c r="AW23" s="3972"/>
      <c r="AX23" s="3972"/>
      <c r="AY23" s="3972"/>
      <c r="AZ23" s="3972"/>
      <c r="BA23" s="3972"/>
      <c r="BB23" s="3972"/>
      <c r="BC23" s="3972"/>
      <c r="BD23" s="3972"/>
      <c r="BE23" s="3972"/>
      <c r="BF23" s="3972"/>
      <c r="BG23" s="3972"/>
      <c r="BH23" s="3972"/>
      <c r="BI23" s="3972"/>
      <c r="BJ23" s="3972"/>
      <c r="BK23" s="3972"/>
      <c r="BL23" s="3972"/>
      <c r="BM23" s="3972"/>
      <c r="BN23" s="3972"/>
      <c r="BO23" s="3972"/>
      <c r="BP23" s="3972"/>
      <c r="BQ23" s="3972"/>
      <c r="BR23" s="3972"/>
      <c r="BS23" s="3972"/>
      <c r="BT23" s="3972"/>
      <c r="BU23" s="3972"/>
      <c r="BV23" s="3972"/>
      <c r="BW23" s="3972"/>
      <c r="BX23" s="3972"/>
      <c r="BY23" s="3972"/>
      <c r="BZ23" s="3972"/>
      <c r="CA23" s="3972"/>
      <c r="CB23" s="3972"/>
      <c r="CC23" s="3972"/>
      <c r="CD23" s="3972"/>
      <c r="CE23" s="3972"/>
      <c r="CF23" s="3972"/>
      <c r="CG23" s="3972"/>
      <c r="CH23" s="3972"/>
      <c r="CI23" s="3972"/>
      <c r="CJ23" s="3972"/>
      <c r="CK23" s="3972"/>
      <c r="CL23" s="3972"/>
      <c r="CM23" s="3972"/>
      <c r="CN23" s="3972"/>
      <c r="CO23" s="3972"/>
      <c r="CP23" s="3972"/>
      <c r="CQ23" s="3972"/>
      <c r="CR23" s="3972"/>
      <c r="CS23" s="3972"/>
      <c r="CT23" s="3972"/>
      <c r="CU23" s="3972"/>
      <c r="CV23" s="3972"/>
      <c r="CW23" s="3972"/>
      <c r="CX23" s="3972"/>
      <c r="CY23" s="3972"/>
      <c r="CZ23" s="3972"/>
      <c r="DA23" s="3972"/>
      <c r="DB23" s="3972"/>
      <c r="DC23" s="3972"/>
      <c r="DD23" s="3972"/>
      <c r="DE23" s="3972"/>
      <c r="DF23" s="3972"/>
      <c r="DG23" s="3972"/>
      <c r="DH23" s="3972"/>
      <c r="DI23" s="3972"/>
      <c r="DJ23" s="3972"/>
      <c r="DK23" s="3972"/>
      <c r="DL23" s="3972"/>
      <c r="DM23" s="3972"/>
      <c r="DN23" s="3972"/>
      <c r="DO23" s="3972"/>
      <c r="DP23" s="6192"/>
      <c r="DX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R24" s="4222"/>
      <c r="AS24" s="4222"/>
      <c r="AT24" s="4222"/>
      <c r="AU24" s="4222"/>
      <c r="AV24" s="4222"/>
      <c r="AW24" s="4222"/>
      <c r="AX24" s="4222"/>
      <c r="AY24" s="4222"/>
      <c r="AZ24" s="4222"/>
      <c r="BA24" s="4222"/>
      <c r="BB24" s="4222"/>
      <c r="BC24" s="4222"/>
      <c r="BD24" s="4222"/>
      <c r="BE24" s="4222"/>
      <c r="BF24" s="4222"/>
      <c r="BG24" s="4222"/>
      <c r="BH24" s="4222"/>
      <c r="BI24" s="4222"/>
      <c r="BJ24" s="4222"/>
      <c r="BK24" s="4222"/>
      <c r="BL24" s="4222"/>
      <c r="BM24" s="4222"/>
      <c r="BN24" s="4222"/>
      <c r="BO24" s="4222"/>
      <c r="BP24" s="4222"/>
      <c r="BQ24" s="4222"/>
      <c r="BR24" s="4222"/>
      <c r="BS24" s="4222"/>
      <c r="BT24" s="4222"/>
      <c r="BU24" s="4222"/>
      <c r="BV24" s="4222"/>
      <c r="BW24" s="4222"/>
      <c r="BX24" s="4222"/>
      <c r="BY24" s="4222"/>
      <c r="BZ24" s="4222"/>
      <c r="CA24" s="4222"/>
      <c r="CB24" s="4222"/>
      <c r="CC24" s="4222"/>
      <c r="CD24" s="4222"/>
      <c r="CE24" s="4222"/>
      <c r="CF24" s="4222"/>
      <c r="CG24" s="4222"/>
      <c r="CH24" s="4222"/>
      <c r="CI24" s="4222"/>
      <c r="CJ24" s="4222"/>
      <c r="CK24" s="4222"/>
      <c r="CL24" s="4222"/>
      <c r="CM24" s="4222"/>
      <c r="CN24" s="4222"/>
      <c r="CO24" s="4222"/>
      <c r="CP24" s="4222"/>
      <c r="CQ24" s="4222"/>
      <c r="CR24" s="4222"/>
      <c r="CS24" s="4222"/>
      <c r="CT24" s="4222"/>
      <c r="CU24" s="4222"/>
      <c r="CV24" s="4222"/>
      <c r="CW24" s="4222"/>
      <c r="CX24" s="4222"/>
      <c r="CY24" s="4222"/>
      <c r="CZ24" s="4222"/>
      <c r="DA24" s="4222"/>
      <c r="DB24" s="4222"/>
      <c r="DC24" s="4222"/>
      <c r="DD24" s="4222"/>
      <c r="DE24" s="4222"/>
      <c r="DF24" s="4222"/>
      <c r="DG24" s="4222"/>
      <c r="DH24" s="4222"/>
      <c r="DI24" s="4222"/>
      <c r="DJ24" s="4222"/>
      <c r="DK24" s="4222"/>
      <c r="DL24" s="4222"/>
      <c r="DM24" s="4222"/>
      <c r="DN24" s="4222"/>
      <c r="DO24" s="4222"/>
      <c r="DP24" s="6203"/>
      <c r="DX24" s="1219">
        <v>25</v>
      </c>
    </row>
    <row customHeight="1" ht="14.699999999999998">
      <c r="Q25" s="440"/>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R25" s="4223"/>
      <c r="AS25" s="4223"/>
      <c r="AT25" s="4223"/>
      <c r="AU25" s="4223"/>
      <c r="AV25" s="4223"/>
      <c r="AW25" s="4223"/>
      <c r="AX25" s="4223"/>
      <c r="AY25" s="4223"/>
      <c r="AZ25" s="4223"/>
      <c r="BA25" s="4223"/>
      <c r="BB25" s="4223"/>
      <c r="BC25" s="4223"/>
      <c r="BD25" s="4223"/>
      <c r="BE25" s="4223"/>
      <c r="BF25" s="4223"/>
      <c r="BG25" s="4223"/>
      <c r="BH25" s="4223"/>
      <c r="BI25" s="4223"/>
      <c r="BJ25" s="4223"/>
      <c r="BK25" s="4223"/>
      <c r="BL25" s="4223"/>
      <c r="BM25" s="4223"/>
      <c r="BN25" s="4223"/>
      <c r="BO25" s="4223"/>
      <c r="BP25" s="4223"/>
      <c r="BQ25" s="4223"/>
      <c r="BR25" s="4223"/>
      <c r="BS25" s="4223"/>
      <c r="BT25" s="4223"/>
      <c r="BU25" s="4223"/>
      <c r="BV25" s="4223"/>
      <c r="BW25" s="4223"/>
      <c r="BX25" s="4223"/>
      <c r="BY25" s="4223"/>
      <c r="BZ25" s="4223"/>
      <c r="CA25" s="4223"/>
      <c r="CB25" s="4223"/>
      <c r="CC25" s="4223"/>
      <c r="CD25" s="4223"/>
      <c r="CE25" s="4223"/>
      <c r="CF25" s="4223"/>
      <c r="CG25" s="4223"/>
      <c r="CH25" s="4223"/>
      <c r="CI25" s="4223"/>
      <c r="CJ25" s="4223"/>
      <c r="CK25" s="4223"/>
      <c r="CL25" s="4223"/>
      <c r="CM25" s="4223"/>
      <c r="CN25" s="4223"/>
      <c r="CO25" s="4223"/>
      <c r="CP25" s="4223"/>
      <c r="CQ25" s="4223"/>
      <c r="CR25" s="4223"/>
      <c r="CS25" s="4223"/>
      <c r="CT25" s="4223"/>
      <c r="CU25" s="4223"/>
      <c r="CV25" s="4223"/>
      <c r="CW25" s="4223"/>
      <c r="CX25" s="4223"/>
      <c r="CY25" s="4223"/>
      <c r="CZ25" s="4223"/>
      <c r="DA25" s="4223"/>
      <c r="DB25" s="4223"/>
      <c r="DC25" s="4223"/>
      <c r="DD25" s="4223"/>
      <c r="DE25" s="4223"/>
      <c r="DF25" s="4223"/>
      <c r="DG25" s="4223"/>
      <c r="DH25" s="4223"/>
      <c r="DI25" s="4223"/>
      <c r="DJ25" s="4223"/>
      <c r="DK25" s="4223"/>
      <c r="DL25" s="4223"/>
      <c r="DM25" s="4223"/>
      <c r="DN25" s="4223"/>
      <c r="DO25" s="4223"/>
      <c r="DP25" s="6204"/>
      <c r="DX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4224"/>
      <c r="AS26" s="4224"/>
      <c r="AT26" s="4224"/>
      <c r="AU26" s="4224"/>
      <c r="AV26" s="4224"/>
      <c r="AW26" s="4224"/>
      <c r="AX26" s="4224"/>
      <c r="AY26" s="4224"/>
      <c r="AZ26" s="4224"/>
      <c r="BA26" s="4224"/>
      <c r="BB26" s="4224"/>
      <c r="BC26" s="4224"/>
      <c r="BD26" s="4224"/>
      <c r="BE26" s="4224"/>
      <c r="BF26" s="4224"/>
      <c r="BG26" s="4224"/>
      <c r="BH26" s="4224"/>
      <c r="BI26" s="4224"/>
      <c r="BJ26" s="4224"/>
      <c r="BK26" s="4224"/>
      <c r="BL26" s="4224"/>
      <c r="BM26" s="4224"/>
      <c r="BN26" s="4224"/>
      <c r="BO26" s="4224"/>
      <c r="BP26" s="4224"/>
      <c r="BQ26" s="4224"/>
      <c r="BR26" s="4224"/>
      <c r="BS26" s="4224"/>
      <c r="BT26" s="4224"/>
      <c r="BU26" s="4224"/>
      <c r="BV26" s="4224"/>
      <c r="BW26" s="4224"/>
      <c r="BX26" s="4224"/>
      <c r="BY26" s="4224"/>
      <c r="BZ26" s="4224"/>
      <c r="CA26" s="4224"/>
      <c r="CB26" s="4224"/>
      <c r="CC26" s="4224"/>
      <c r="CD26" s="4224"/>
      <c r="CE26" s="4224"/>
      <c r="CF26" s="4224"/>
      <c r="CG26" s="4224"/>
      <c r="CH26" s="4224"/>
      <c r="CI26" s="4224"/>
      <c r="CJ26" s="4224"/>
      <c r="CK26" s="4224"/>
      <c r="CL26" s="4224"/>
      <c r="CM26" s="4224"/>
      <c r="CN26" s="4224"/>
      <c r="CO26" s="4224"/>
      <c r="CP26" s="4224"/>
      <c r="CQ26" s="4224"/>
      <c r="CR26" s="4224"/>
      <c r="CS26" s="4224"/>
      <c r="CT26" s="4224"/>
      <c r="CU26" s="4224"/>
      <c r="CV26" s="4224"/>
      <c r="CW26" s="4224"/>
      <c r="CX26" s="4224"/>
      <c r="CY26" s="4224"/>
      <c r="CZ26" s="4224"/>
      <c r="DA26" s="4224"/>
      <c r="DB26" s="4224"/>
      <c r="DC26" s="4224"/>
      <c r="DD26" s="4224"/>
      <c r="DE26" s="4224"/>
      <c r="DF26" s="4224"/>
      <c r="DG26" s="4224"/>
      <c r="DH26" s="4224"/>
      <c r="DI26" s="4224"/>
      <c r="DJ26" s="4224"/>
      <c r="DK26" s="4224"/>
      <c r="DL26" s="4224"/>
      <c r="DM26" s="4224"/>
      <c r="DN26" s="4224"/>
      <c r="DO26" s="4224"/>
      <c r="DP26" s="6205"/>
      <c r="DQ26" s="573"/>
      <c r="DX26" s="1219">
        <v>0</v>
      </c>
    </row>
    <row s="601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УГРЦТ НАО</v>
      </c>
      <c r="W27" s="2315"/>
      <c r="X27" s="2315"/>
      <c r="Y27" s="2315"/>
      <c r="Z27" s="2315"/>
      <c r="AA27" s="2315"/>
      <c r="AB27" s="2315"/>
      <c r="AC27" s="2315"/>
      <c r="AD27" s="2315"/>
      <c r="AE27" s="2315"/>
      <c r="AF27" s="390"/>
      <c r="AG27" s="2315" t="str">
        <f>IF(TITLE_NAME_OR_PR_CHANGE="",IF(TITLE_NAME_OR_PR="","",TITLE_NAME_OR_PR),TITLE_NAME_OR_PR_CHANGE)</f>
        <v>УГРЦТ НАО</v>
      </c>
      <c r="AH27" s="2315"/>
      <c r="AI27" s="2315"/>
      <c r="AJ27" s="2315"/>
      <c r="AK27" s="2315"/>
      <c r="AL27" s="2315"/>
      <c r="AM27" s="2315"/>
      <c r="AN27" s="2315"/>
      <c r="AO27" s="2315"/>
      <c r="AP27" s="2315"/>
      <c r="AQ27" s="390"/>
      <c r="AR27" s="4225" t="str">
        <f>IF(TITLE_NAME_OR_PR_CHANGE="",IF(TITLE_NAME_OR_PR="","",TITLE_NAME_OR_PR),TITLE_NAME_OR_PR_CHANGE)</f>
        <v>УГРЦТ НАО</v>
      </c>
      <c r="AS27" s="4225"/>
      <c r="AT27" s="4225"/>
      <c r="AU27" s="4225"/>
      <c r="AV27" s="4225"/>
      <c r="AW27" s="4225"/>
      <c r="AX27" s="4225"/>
      <c r="AY27" s="4225"/>
      <c r="AZ27" s="4225"/>
      <c r="BA27" s="4225"/>
      <c r="BB27" s="3972"/>
      <c r="BC27" s="4225" t="str">
        <f>IF(TITLE_NAME_OR_PR_CHANGE="",IF(TITLE_NAME_OR_PR="","",TITLE_NAME_OR_PR),TITLE_NAME_OR_PR_CHANGE)</f>
        <v>УГРЦТ НАО</v>
      </c>
      <c r="BD27" s="4225"/>
      <c r="BE27" s="4225"/>
      <c r="BF27" s="4225"/>
      <c r="BG27" s="4225"/>
      <c r="BH27" s="4225"/>
      <c r="BI27" s="4225"/>
      <c r="BJ27" s="4225"/>
      <c r="BK27" s="4225"/>
      <c r="BL27" s="4225"/>
      <c r="BM27" s="3972"/>
      <c r="BN27" s="4225" t="str">
        <f>IF(TITLE_NAME_OR_PR_CHANGE="",IF(TITLE_NAME_OR_PR="","",TITLE_NAME_OR_PR),TITLE_NAME_OR_PR_CHANGE)</f>
        <v>УГРЦТ НАО</v>
      </c>
      <c r="BO27" s="4225"/>
      <c r="BP27" s="4225"/>
      <c r="BQ27" s="4225"/>
      <c r="BR27" s="4225"/>
      <c r="BS27" s="4225"/>
      <c r="BT27" s="4225"/>
      <c r="BU27" s="4225"/>
      <c r="BV27" s="4225"/>
      <c r="BW27" s="4225"/>
      <c r="BX27" s="3972"/>
      <c r="BY27" s="4225" t="str">
        <f>IF(TITLE_NAME_OR_PR_CHANGE="",IF(TITLE_NAME_OR_PR="","",TITLE_NAME_OR_PR),TITLE_NAME_OR_PR_CHANGE)</f>
        <v>УГРЦТ НАО</v>
      </c>
      <c r="BZ27" s="4225"/>
      <c r="CA27" s="4225"/>
      <c r="CB27" s="4225"/>
      <c r="CC27" s="4225"/>
      <c r="CD27" s="4225"/>
      <c r="CE27" s="4225"/>
      <c r="CF27" s="4225"/>
      <c r="CG27" s="4225"/>
      <c r="CH27" s="4225"/>
      <c r="CI27" s="3972"/>
      <c r="CJ27" s="4225" t="str">
        <f>IF(TITLE_NAME_OR_PR_CHANGE="",IF(TITLE_NAME_OR_PR="","",TITLE_NAME_OR_PR),TITLE_NAME_OR_PR_CHANGE)</f>
        <v>УГРЦТ НАО</v>
      </c>
      <c r="CK27" s="4225"/>
      <c r="CL27" s="4225"/>
      <c r="CM27" s="4225"/>
      <c r="CN27" s="4225"/>
      <c r="CO27" s="4225"/>
      <c r="CP27" s="4225"/>
      <c r="CQ27" s="4225"/>
      <c r="CR27" s="4225"/>
      <c r="CS27" s="4225"/>
      <c r="CT27" s="3972"/>
      <c r="CU27" s="4225" t="str">
        <f>IF(TITLE_NAME_OR_PR_CHANGE="",IF(TITLE_NAME_OR_PR="","",TITLE_NAME_OR_PR),TITLE_NAME_OR_PR_CHANGE)</f>
        <v>УГРЦТ НАО</v>
      </c>
      <c r="CV27" s="4225"/>
      <c r="CW27" s="4225"/>
      <c r="CX27" s="4225"/>
      <c r="CY27" s="4225"/>
      <c r="CZ27" s="4225"/>
      <c r="DA27" s="4225"/>
      <c r="DB27" s="4225"/>
      <c r="DC27" s="4225"/>
      <c r="DD27" s="4225"/>
      <c r="DE27" s="3972"/>
      <c r="DF27" s="4225" t="str">
        <f>IF(TITLE_NAME_OR_PR_CHANGE="",IF(TITLE_NAME_OR_PR="","",TITLE_NAME_OR_PR),TITLE_NAME_OR_PR_CHANGE)</f>
        <v>УГРЦТ НАО</v>
      </c>
      <c r="DG27" s="4225"/>
      <c r="DH27" s="4225"/>
      <c r="DI27" s="4225"/>
      <c r="DJ27" s="4225"/>
      <c r="DK27" s="4225"/>
      <c r="DL27" s="4225"/>
      <c r="DM27" s="4225"/>
      <c r="DN27" s="4225"/>
      <c r="DO27" s="4225"/>
      <c r="DP27" s="6192"/>
      <c r="DQ27" s="390"/>
      <c r="DR27" s="344"/>
      <c r="DS27" s="432"/>
      <c r="DT27" s="432"/>
      <c r="DU27" s="432"/>
      <c r="DV27" s="432"/>
      <c r="DW27" s="432"/>
      <c r="DX27" s="482">
        <v>0</v>
      </c>
    </row>
    <row s="6011" customFormat="1" customHeight="1" ht="18.75">
      <c r="A28" s="1432"/>
      <c r="B28" s="1432"/>
      <c r="C28" s="1432"/>
      <c r="D28" s="1432"/>
      <c r="E28" s="1432"/>
      <c r="F28" s="1432"/>
      <c r="G28" s="1432"/>
      <c r="H28" s="1432"/>
      <c r="I28" s="1432"/>
      <c r="J28" s="1432"/>
      <c r="K28" s="1432"/>
      <c r="L28" s="1433"/>
      <c r="M28" s="1432"/>
      <c r="N28" s="1432"/>
      <c r="O28" s="1432"/>
      <c r="S28" s="2314" t="s">
        <v>425</v>
      </c>
      <c r="T28" s="2314"/>
      <c r="U28" s="1436"/>
      <c r="V28" s="2328" t="str">
        <f>IF(TITLE_DATE_PR_CHANGE="",IF(TITLE_DATE_PR="","",TITLE_DATE_PR),TITLE_DATE_PR_CHANGE)</f>
        <v>46008.48059027778</v>
      </c>
      <c r="W28" s="2328"/>
      <c r="X28" s="2328"/>
      <c r="Y28" s="2328"/>
      <c r="Z28" s="2328"/>
      <c r="AA28" s="2328"/>
      <c r="AB28" s="2328"/>
      <c r="AC28" s="2328"/>
      <c r="AD28" s="2328"/>
      <c r="AE28" s="2328"/>
      <c r="AF28" s="390"/>
      <c r="AG28" s="2328" t="str">
        <f>IF(TITLE_DATE_PR_CHANGE="",IF(TITLE_DATE_PR="","",TITLE_DATE_PR),TITLE_DATE_PR_CHANGE)</f>
        <v>46008.48059027778</v>
      </c>
      <c r="AH28" s="2328"/>
      <c r="AI28" s="2328"/>
      <c r="AJ28" s="2328"/>
      <c r="AK28" s="2328"/>
      <c r="AL28" s="2328"/>
      <c r="AM28" s="2328"/>
      <c r="AN28" s="2328"/>
      <c r="AO28" s="2328"/>
      <c r="AP28" s="2328"/>
      <c r="AQ28" s="390"/>
      <c r="AR28" s="4226" t="str">
        <f>IF(TITLE_DATE_PR_CHANGE="",IF(TITLE_DATE_PR="","",TITLE_DATE_PR),TITLE_DATE_PR_CHANGE)</f>
        <v>46008.48059027778</v>
      </c>
      <c r="AS28" s="4226"/>
      <c r="AT28" s="4226"/>
      <c r="AU28" s="4226"/>
      <c r="AV28" s="4226"/>
      <c r="AW28" s="4226"/>
      <c r="AX28" s="4226"/>
      <c r="AY28" s="4226"/>
      <c r="AZ28" s="4226"/>
      <c r="BA28" s="4226"/>
      <c r="BB28" s="3972"/>
      <c r="BC28" s="4226" t="str">
        <f>IF(TITLE_DATE_PR_CHANGE="",IF(TITLE_DATE_PR="","",TITLE_DATE_PR),TITLE_DATE_PR_CHANGE)</f>
        <v>46008.48059027778</v>
      </c>
      <c r="BD28" s="4226"/>
      <c r="BE28" s="4226"/>
      <c r="BF28" s="4226"/>
      <c r="BG28" s="4226"/>
      <c r="BH28" s="4226"/>
      <c r="BI28" s="4226"/>
      <c r="BJ28" s="4226"/>
      <c r="BK28" s="4226"/>
      <c r="BL28" s="4226"/>
      <c r="BM28" s="3972"/>
      <c r="BN28" s="4226" t="str">
        <f>IF(TITLE_DATE_PR_CHANGE="",IF(TITLE_DATE_PR="","",TITLE_DATE_PR),TITLE_DATE_PR_CHANGE)</f>
        <v>46008.48059027778</v>
      </c>
      <c r="BO28" s="4226"/>
      <c r="BP28" s="4226"/>
      <c r="BQ28" s="4226"/>
      <c r="BR28" s="4226"/>
      <c r="BS28" s="4226"/>
      <c r="BT28" s="4226"/>
      <c r="BU28" s="4226"/>
      <c r="BV28" s="4226"/>
      <c r="BW28" s="4226"/>
      <c r="BX28" s="3972"/>
      <c r="BY28" s="4226" t="str">
        <f>IF(TITLE_DATE_PR_CHANGE="",IF(TITLE_DATE_PR="","",TITLE_DATE_PR),TITLE_DATE_PR_CHANGE)</f>
        <v>46008.48059027778</v>
      </c>
      <c r="BZ28" s="4226"/>
      <c r="CA28" s="4226"/>
      <c r="CB28" s="4226"/>
      <c r="CC28" s="4226"/>
      <c r="CD28" s="4226"/>
      <c r="CE28" s="4226"/>
      <c r="CF28" s="4226"/>
      <c r="CG28" s="4226"/>
      <c r="CH28" s="4226"/>
      <c r="CI28" s="3972"/>
      <c r="CJ28" s="4226" t="str">
        <f>IF(TITLE_DATE_PR_CHANGE="",IF(TITLE_DATE_PR="","",TITLE_DATE_PR),TITLE_DATE_PR_CHANGE)</f>
        <v>46008.48059027778</v>
      </c>
      <c r="CK28" s="4226"/>
      <c r="CL28" s="4226"/>
      <c r="CM28" s="4226"/>
      <c r="CN28" s="4226"/>
      <c r="CO28" s="4226"/>
      <c r="CP28" s="4226"/>
      <c r="CQ28" s="4226"/>
      <c r="CR28" s="4226"/>
      <c r="CS28" s="4226"/>
      <c r="CT28" s="3972"/>
      <c r="CU28" s="4226" t="str">
        <f>IF(TITLE_DATE_PR_CHANGE="",IF(TITLE_DATE_PR="","",TITLE_DATE_PR),TITLE_DATE_PR_CHANGE)</f>
        <v>46008.48059027778</v>
      </c>
      <c r="CV28" s="4226"/>
      <c r="CW28" s="4226"/>
      <c r="CX28" s="4226"/>
      <c r="CY28" s="4226"/>
      <c r="CZ28" s="4226"/>
      <c r="DA28" s="4226"/>
      <c r="DB28" s="4226"/>
      <c r="DC28" s="4226"/>
      <c r="DD28" s="4226"/>
      <c r="DE28" s="3972"/>
      <c r="DF28" s="4226" t="str">
        <f>IF(TITLE_DATE_PR_CHANGE="",IF(TITLE_DATE_PR="","",TITLE_DATE_PR),TITLE_DATE_PR_CHANGE)</f>
        <v>46008.48059027778</v>
      </c>
      <c r="DG28" s="4226"/>
      <c r="DH28" s="4226"/>
      <c r="DI28" s="4226"/>
      <c r="DJ28" s="4226"/>
      <c r="DK28" s="4226"/>
      <c r="DL28" s="4226"/>
      <c r="DM28" s="4226"/>
      <c r="DN28" s="4226"/>
      <c r="DO28" s="4226"/>
      <c r="DP28" s="6192"/>
      <c r="DQ28" s="390"/>
      <c r="DR28" s="344"/>
      <c r="DS28" s="432"/>
      <c r="DT28" s="432"/>
      <c r="DU28" s="432"/>
      <c r="DV28" s="432"/>
      <c r="DW28" s="432"/>
      <c r="DX28" s="482">
        <v>0</v>
      </c>
    </row>
    <row s="6011" customFormat="1" customHeight="1" ht="18.75">
      <c r="A29" s="1432"/>
      <c r="B29" s="1432"/>
      <c r="C29" s="1432"/>
      <c r="D29" s="1432"/>
      <c r="E29" s="1432"/>
      <c r="F29" s="1432"/>
      <c r="G29" s="1432"/>
      <c r="H29" s="1432"/>
      <c r="I29" s="1432"/>
      <c r="J29" s="1432"/>
      <c r="K29" s="1432"/>
      <c r="L29" s="1433"/>
      <c r="M29" s="1432"/>
      <c r="N29" s="1432"/>
      <c r="O29" s="1432"/>
      <c r="S29" s="2314" t="s">
        <v>426</v>
      </c>
      <c r="T29" s="2314"/>
      <c r="U29" s="1436"/>
      <c r="V29" s="2315" t="str">
        <f>IF(TITLE_NUMBER_PR_CHANGE="",IF(TITLE_NUMBER_PR="","",TITLE_NUMBER_PR),TITLE_NUMBER_PR_CHANGE)</f>
        <v>58</v>
      </c>
      <c r="W29" s="2315"/>
      <c r="X29" s="2315"/>
      <c r="Y29" s="2315"/>
      <c r="Z29" s="2315"/>
      <c r="AA29" s="2315"/>
      <c r="AB29" s="2315"/>
      <c r="AC29" s="2315"/>
      <c r="AD29" s="2315"/>
      <c r="AE29" s="2315"/>
      <c r="AF29" s="390"/>
      <c r="AG29" s="2315" t="str">
        <f>IF(TITLE_NUMBER_PR_CHANGE="",IF(TITLE_NUMBER_PR="","",TITLE_NUMBER_PR),TITLE_NUMBER_PR_CHANGE)</f>
        <v>58</v>
      </c>
      <c r="AH29" s="2315"/>
      <c r="AI29" s="2315"/>
      <c r="AJ29" s="2315"/>
      <c r="AK29" s="2315"/>
      <c r="AL29" s="2315"/>
      <c r="AM29" s="2315"/>
      <c r="AN29" s="2315"/>
      <c r="AO29" s="2315"/>
      <c r="AP29" s="2315"/>
      <c r="AQ29" s="390"/>
      <c r="AR29" s="4225" t="str">
        <f>IF(TITLE_NUMBER_PR_CHANGE="",IF(TITLE_NUMBER_PR="","",TITLE_NUMBER_PR),TITLE_NUMBER_PR_CHANGE)</f>
        <v>58</v>
      </c>
      <c r="AS29" s="4225"/>
      <c r="AT29" s="4225"/>
      <c r="AU29" s="4225"/>
      <c r="AV29" s="4225"/>
      <c r="AW29" s="4225"/>
      <c r="AX29" s="4225"/>
      <c r="AY29" s="4225"/>
      <c r="AZ29" s="4225"/>
      <c r="BA29" s="4225"/>
      <c r="BB29" s="3972"/>
      <c r="BC29" s="4225" t="str">
        <f>IF(TITLE_NUMBER_PR_CHANGE="",IF(TITLE_NUMBER_PR="","",TITLE_NUMBER_PR),TITLE_NUMBER_PR_CHANGE)</f>
        <v>58</v>
      </c>
      <c r="BD29" s="4225"/>
      <c r="BE29" s="4225"/>
      <c r="BF29" s="4225"/>
      <c r="BG29" s="4225"/>
      <c r="BH29" s="4225"/>
      <c r="BI29" s="4225"/>
      <c r="BJ29" s="4225"/>
      <c r="BK29" s="4225"/>
      <c r="BL29" s="4225"/>
      <c r="BM29" s="3972"/>
      <c r="BN29" s="4225" t="str">
        <f>IF(TITLE_NUMBER_PR_CHANGE="",IF(TITLE_NUMBER_PR="","",TITLE_NUMBER_PR),TITLE_NUMBER_PR_CHANGE)</f>
        <v>58</v>
      </c>
      <c r="BO29" s="4225"/>
      <c r="BP29" s="4225"/>
      <c r="BQ29" s="4225"/>
      <c r="BR29" s="4225"/>
      <c r="BS29" s="4225"/>
      <c r="BT29" s="4225"/>
      <c r="BU29" s="4225"/>
      <c r="BV29" s="4225"/>
      <c r="BW29" s="4225"/>
      <c r="BX29" s="3972"/>
      <c r="BY29" s="4225" t="str">
        <f>IF(TITLE_NUMBER_PR_CHANGE="",IF(TITLE_NUMBER_PR="","",TITLE_NUMBER_PR),TITLE_NUMBER_PR_CHANGE)</f>
        <v>58</v>
      </c>
      <c r="BZ29" s="4225"/>
      <c r="CA29" s="4225"/>
      <c r="CB29" s="4225"/>
      <c r="CC29" s="4225"/>
      <c r="CD29" s="4225"/>
      <c r="CE29" s="4225"/>
      <c r="CF29" s="4225"/>
      <c r="CG29" s="4225"/>
      <c r="CH29" s="4225"/>
      <c r="CI29" s="3972"/>
      <c r="CJ29" s="4225" t="str">
        <f>IF(TITLE_NUMBER_PR_CHANGE="",IF(TITLE_NUMBER_PR="","",TITLE_NUMBER_PR),TITLE_NUMBER_PR_CHANGE)</f>
        <v>58</v>
      </c>
      <c r="CK29" s="4225"/>
      <c r="CL29" s="4225"/>
      <c r="CM29" s="4225"/>
      <c r="CN29" s="4225"/>
      <c r="CO29" s="4225"/>
      <c r="CP29" s="4225"/>
      <c r="CQ29" s="4225"/>
      <c r="CR29" s="4225"/>
      <c r="CS29" s="4225"/>
      <c r="CT29" s="3972"/>
      <c r="CU29" s="4225" t="str">
        <f>IF(TITLE_NUMBER_PR_CHANGE="",IF(TITLE_NUMBER_PR="","",TITLE_NUMBER_PR),TITLE_NUMBER_PR_CHANGE)</f>
        <v>58</v>
      </c>
      <c r="CV29" s="4225"/>
      <c r="CW29" s="4225"/>
      <c r="CX29" s="4225"/>
      <c r="CY29" s="4225"/>
      <c r="CZ29" s="4225"/>
      <c r="DA29" s="4225"/>
      <c r="DB29" s="4225"/>
      <c r="DC29" s="4225"/>
      <c r="DD29" s="4225"/>
      <c r="DE29" s="3972"/>
      <c r="DF29" s="4225" t="str">
        <f>IF(TITLE_NUMBER_PR_CHANGE="",IF(TITLE_NUMBER_PR="","",TITLE_NUMBER_PR),TITLE_NUMBER_PR_CHANGE)</f>
        <v>58</v>
      </c>
      <c r="DG29" s="4225"/>
      <c r="DH29" s="4225"/>
      <c r="DI29" s="4225"/>
      <c r="DJ29" s="4225"/>
      <c r="DK29" s="4225"/>
      <c r="DL29" s="4225"/>
      <c r="DM29" s="4225"/>
      <c r="DN29" s="4225"/>
      <c r="DO29" s="4225"/>
      <c r="DP29" s="6192"/>
      <c r="DQ29" s="390"/>
      <c r="DR29" s="344"/>
      <c r="DS29" s="432"/>
      <c r="DT29" s="432"/>
      <c r="DU29" s="432"/>
      <c r="DV29" s="432"/>
      <c r="DW29" s="432"/>
      <c r="DX29" s="482">
        <v>0</v>
      </c>
    </row>
    <row s="601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http://pravo.gov.ru</v>
      </c>
      <c r="W30" s="2315"/>
      <c r="X30" s="2315"/>
      <c r="Y30" s="2315"/>
      <c r="Z30" s="2315"/>
      <c r="AA30" s="2315"/>
      <c r="AB30" s="2315"/>
      <c r="AC30" s="2315"/>
      <c r="AD30" s="2315"/>
      <c r="AE30" s="2315"/>
      <c r="AF30" s="390"/>
      <c r="AG30" s="2315" t="str">
        <f>IF(TITLE_IST_PUB_CHANGE="",IF(TITLE_IST_PUB="","",TITLE_IST_PUB),TITLE_IST_PUB_CHANGE)</f>
        <v>http://pravo.gov.ru</v>
      </c>
      <c r="AH30" s="2315"/>
      <c r="AI30" s="2315"/>
      <c r="AJ30" s="2315"/>
      <c r="AK30" s="2315"/>
      <c r="AL30" s="2315"/>
      <c r="AM30" s="2315"/>
      <c r="AN30" s="2315"/>
      <c r="AO30" s="2315"/>
      <c r="AP30" s="2315"/>
      <c r="AQ30" s="390"/>
      <c r="AR30" s="4225" t="str">
        <f>IF(TITLE_IST_PUB_CHANGE="",IF(TITLE_IST_PUB="","",TITLE_IST_PUB),TITLE_IST_PUB_CHANGE)</f>
        <v>http://pravo.gov.ru</v>
      </c>
      <c r="AS30" s="4225"/>
      <c r="AT30" s="4225"/>
      <c r="AU30" s="4225"/>
      <c r="AV30" s="4225"/>
      <c r="AW30" s="4225"/>
      <c r="AX30" s="4225"/>
      <c r="AY30" s="4225"/>
      <c r="AZ30" s="4225"/>
      <c r="BA30" s="4225"/>
      <c r="BB30" s="3972"/>
      <c r="BC30" s="4225" t="str">
        <f>IF(TITLE_IST_PUB_CHANGE="",IF(TITLE_IST_PUB="","",TITLE_IST_PUB),TITLE_IST_PUB_CHANGE)</f>
        <v>http://pravo.gov.ru</v>
      </c>
      <c r="BD30" s="4225"/>
      <c r="BE30" s="4225"/>
      <c r="BF30" s="4225"/>
      <c r="BG30" s="4225"/>
      <c r="BH30" s="4225"/>
      <c r="BI30" s="4225"/>
      <c r="BJ30" s="4225"/>
      <c r="BK30" s="4225"/>
      <c r="BL30" s="4225"/>
      <c r="BM30" s="3972"/>
      <c r="BN30" s="4225" t="str">
        <f>IF(TITLE_IST_PUB_CHANGE="",IF(TITLE_IST_PUB="","",TITLE_IST_PUB),TITLE_IST_PUB_CHANGE)</f>
        <v>http://pravo.gov.ru</v>
      </c>
      <c r="BO30" s="4225"/>
      <c r="BP30" s="4225"/>
      <c r="BQ30" s="4225"/>
      <c r="BR30" s="4225"/>
      <c r="BS30" s="4225"/>
      <c r="BT30" s="4225"/>
      <c r="BU30" s="4225"/>
      <c r="BV30" s="4225"/>
      <c r="BW30" s="4225"/>
      <c r="BX30" s="3972"/>
      <c r="BY30" s="4225" t="str">
        <f>IF(TITLE_IST_PUB_CHANGE="",IF(TITLE_IST_PUB="","",TITLE_IST_PUB),TITLE_IST_PUB_CHANGE)</f>
        <v>http://pravo.gov.ru</v>
      </c>
      <c r="BZ30" s="4225"/>
      <c r="CA30" s="4225"/>
      <c r="CB30" s="4225"/>
      <c r="CC30" s="4225"/>
      <c r="CD30" s="4225"/>
      <c r="CE30" s="4225"/>
      <c r="CF30" s="4225"/>
      <c r="CG30" s="4225"/>
      <c r="CH30" s="4225"/>
      <c r="CI30" s="3972"/>
      <c r="CJ30" s="4225" t="str">
        <f>IF(TITLE_IST_PUB_CHANGE="",IF(TITLE_IST_PUB="","",TITLE_IST_PUB),TITLE_IST_PUB_CHANGE)</f>
        <v>http://pravo.gov.ru</v>
      </c>
      <c r="CK30" s="4225"/>
      <c r="CL30" s="4225"/>
      <c r="CM30" s="4225"/>
      <c r="CN30" s="4225"/>
      <c r="CO30" s="4225"/>
      <c r="CP30" s="4225"/>
      <c r="CQ30" s="4225"/>
      <c r="CR30" s="4225"/>
      <c r="CS30" s="4225"/>
      <c r="CT30" s="3972"/>
      <c r="CU30" s="4225" t="str">
        <f>IF(TITLE_IST_PUB_CHANGE="",IF(TITLE_IST_PUB="","",TITLE_IST_PUB),TITLE_IST_PUB_CHANGE)</f>
        <v>http://pravo.gov.ru</v>
      </c>
      <c r="CV30" s="4225"/>
      <c r="CW30" s="4225"/>
      <c r="CX30" s="4225"/>
      <c r="CY30" s="4225"/>
      <c r="CZ30" s="4225"/>
      <c r="DA30" s="4225"/>
      <c r="DB30" s="4225"/>
      <c r="DC30" s="4225"/>
      <c r="DD30" s="4225"/>
      <c r="DE30" s="3972"/>
      <c r="DF30" s="4225" t="str">
        <f>IF(TITLE_IST_PUB_CHANGE="",IF(TITLE_IST_PUB="","",TITLE_IST_PUB),TITLE_IST_PUB_CHANGE)</f>
        <v>http://pravo.gov.ru</v>
      </c>
      <c r="DG30" s="4225"/>
      <c r="DH30" s="4225"/>
      <c r="DI30" s="4225"/>
      <c r="DJ30" s="4225"/>
      <c r="DK30" s="4225"/>
      <c r="DL30" s="4225"/>
      <c r="DM30" s="4225"/>
      <c r="DN30" s="4225"/>
      <c r="DO30" s="4225"/>
      <c r="DP30" s="6192"/>
      <c r="DQ30" s="390"/>
      <c r="DR30" s="344"/>
      <c r="DS30" s="432"/>
      <c r="DT30" s="432"/>
      <c r="DU30" s="432"/>
      <c r="DV30" s="432"/>
      <c r="DW30" s="432"/>
      <c r="DX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4224"/>
      <c r="AS31" s="4224"/>
      <c r="AT31" s="4224"/>
      <c r="AU31" s="4224"/>
      <c r="AV31" s="4224"/>
      <c r="AW31" s="4224"/>
      <c r="AX31" s="4224"/>
      <c r="AY31" s="4224"/>
      <c r="AZ31" s="4224"/>
      <c r="BA31" s="4224"/>
      <c r="BB31" s="4224"/>
      <c r="BC31" s="4224"/>
      <c r="BD31" s="4224"/>
      <c r="BE31" s="4224"/>
      <c r="BF31" s="4224"/>
      <c r="BG31" s="4224"/>
      <c r="BH31" s="4224"/>
      <c r="BI31" s="4224"/>
      <c r="BJ31" s="4224"/>
      <c r="BK31" s="4224"/>
      <c r="BL31" s="4224"/>
      <c r="BM31" s="4224"/>
      <c r="BN31" s="4224"/>
      <c r="BO31" s="4224"/>
      <c r="BP31" s="4224"/>
      <c r="BQ31" s="4224"/>
      <c r="BR31" s="4224"/>
      <c r="BS31" s="4224"/>
      <c r="BT31" s="4224"/>
      <c r="BU31" s="4224"/>
      <c r="BV31" s="4224"/>
      <c r="BW31" s="4224"/>
      <c r="BX31" s="4224"/>
      <c r="BY31" s="4224"/>
      <c r="BZ31" s="4224"/>
      <c r="CA31" s="4224"/>
      <c r="CB31" s="4224"/>
      <c r="CC31" s="4224"/>
      <c r="CD31" s="4224"/>
      <c r="CE31" s="4224"/>
      <c r="CF31" s="4224"/>
      <c r="CG31" s="4224"/>
      <c r="CH31" s="4224"/>
      <c r="CI31" s="4224"/>
      <c r="CJ31" s="4224"/>
      <c r="CK31" s="4224"/>
      <c r="CL31" s="4224"/>
      <c r="CM31" s="4224"/>
      <c r="CN31" s="4224"/>
      <c r="CO31" s="4224"/>
      <c r="CP31" s="4224"/>
      <c r="CQ31" s="4224"/>
      <c r="CR31" s="4224"/>
      <c r="CS31" s="4224"/>
      <c r="CT31" s="4224"/>
      <c r="CU31" s="4224"/>
      <c r="CV31" s="4224"/>
      <c r="CW31" s="4224"/>
      <c r="CX31" s="4224"/>
      <c r="CY31" s="4224"/>
      <c r="CZ31" s="4224"/>
      <c r="DA31" s="4224"/>
      <c r="DB31" s="4224"/>
      <c r="DC31" s="4224"/>
      <c r="DD31" s="4224"/>
      <c r="DE31" s="4224"/>
      <c r="DF31" s="4224"/>
      <c r="DG31" s="4224"/>
      <c r="DH31" s="4224"/>
      <c r="DI31" s="4224"/>
      <c r="DJ31" s="4224"/>
      <c r="DK31" s="4224"/>
      <c r="DL31" s="4224"/>
      <c r="DM31" s="4224"/>
      <c r="DN31" s="4224"/>
      <c r="DO31" s="4224"/>
      <c r="DP31" s="6205"/>
      <c r="DQ31" s="573"/>
      <c r="DX31" s="1219">
        <v>0</v>
      </c>
    </row>
    <row s="6011" customFormat="1" customHeight="1" ht="18.75" hidden="1">
      <c r="A32" s="1432"/>
      <c r="B32" s="1432"/>
      <c r="C32" s="1432"/>
      <c r="D32" s="1432"/>
      <c r="E32" s="1432"/>
      <c r="F32" s="1432"/>
      <c r="G32" s="1432"/>
      <c r="H32" s="1432"/>
      <c r="I32" s="1432"/>
      <c r="J32" s="1432"/>
      <c r="K32" s="1432"/>
      <c r="L32" s="1433"/>
      <c r="M32" s="1432"/>
      <c r="N32" s="1432"/>
      <c r="O32" s="1432"/>
      <c r="S32" s="2314" t="s">
        <v>427</v>
      </c>
      <c r="T32" s="2314"/>
      <c r="U32" s="1436"/>
      <c r="V32" s="2328" t="str">
        <f>IF(TITLE_DATE_PR_CHANGE="",IF(TITLE_DATE_PR="","",TITLE_DATE_PR),TITLE_DATE_PR_CHANGE)</f>
        <v>46008.48059027778</v>
      </c>
      <c r="W32" s="2328"/>
      <c r="X32" s="2328"/>
      <c r="Y32" s="2328"/>
      <c r="Z32" s="2328"/>
      <c r="AA32" s="2328"/>
      <c r="AB32" s="2328"/>
      <c r="AC32" s="2328"/>
      <c r="AD32" s="2328"/>
      <c r="AE32" s="2328"/>
      <c r="AF32" s="390"/>
      <c r="AG32" s="2328" t="str">
        <f>IF(TITLE_DATE_PR_CHANGE="",IF(TITLE_DATE_PR="","",TITLE_DATE_PR),TITLE_DATE_PR_CHANGE)</f>
        <v>46008.48059027778</v>
      </c>
      <c r="AH32" s="2328"/>
      <c r="AI32" s="2328"/>
      <c r="AJ32" s="2328"/>
      <c r="AK32" s="2328"/>
      <c r="AL32" s="2328"/>
      <c r="AM32" s="2328"/>
      <c r="AN32" s="2328"/>
      <c r="AO32" s="2328"/>
      <c r="AP32" s="2328"/>
      <c r="AQ32" s="390"/>
      <c r="AR32" s="4226" t="str">
        <f>IF(TITLE_DATE_PR_CHANGE="",IF(TITLE_DATE_PR="","",TITLE_DATE_PR),TITLE_DATE_PR_CHANGE)</f>
        <v>46008.48059027778</v>
      </c>
      <c r="AS32" s="4226"/>
      <c r="AT32" s="4226"/>
      <c r="AU32" s="4226"/>
      <c r="AV32" s="4226"/>
      <c r="AW32" s="4226"/>
      <c r="AX32" s="4226"/>
      <c r="AY32" s="4226"/>
      <c r="AZ32" s="4226"/>
      <c r="BA32" s="4226"/>
      <c r="BB32" s="3972"/>
      <c r="BC32" s="4226" t="str">
        <f>IF(TITLE_DATE_PR_CHANGE="",IF(TITLE_DATE_PR="","",TITLE_DATE_PR),TITLE_DATE_PR_CHANGE)</f>
        <v>46008.48059027778</v>
      </c>
      <c r="BD32" s="4226"/>
      <c r="BE32" s="4226"/>
      <c r="BF32" s="4226"/>
      <c r="BG32" s="4226"/>
      <c r="BH32" s="4226"/>
      <c r="BI32" s="4226"/>
      <c r="BJ32" s="4226"/>
      <c r="BK32" s="4226"/>
      <c r="BL32" s="4226"/>
      <c r="BM32" s="3972"/>
      <c r="BN32" s="4226" t="str">
        <f>IF(TITLE_DATE_PR_CHANGE="",IF(TITLE_DATE_PR="","",TITLE_DATE_PR),TITLE_DATE_PR_CHANGE)</f>
        <v>46008.48059027778</v>
      </c>
      <c r="BO32" s="4226"/>
      <c r="BP32" s="4226"/>
      <c r="BQ32" s="4226"/>
      <c r="BR32" s="4226"/>
      <c r="BS32" s="4226"/>
      <c r="BT32" s="4226"/>
      <c r="BU32" s="4226"/>
      <c r="BV32" s="4226"/>
      <c r="BW32" s="4226"/>
      <c r="BX32" s="3972"/>
      <c r="BY32" s="4226" t="str">
        <f>IF(TITLE_DATE_PR_CHANGE="",IF(TITLE_DATE_PR="","",TITLE_DATE_PR),TITLE_DATE_PR_CHANGE)</f>
        <v>46008.48059027778</v>
      </c>
      <c r="BZ32" s="4226"/>
      <c r="CA32" s="4226"/>
      <c r="CB32" s="4226"/>
      <c r="CC32" s="4226"/>
      <c r="CD32" s="4226"/>
      <c r="CE32" s="4226"/>
      <c r="CF32" s="4226"/>
      <c r="CG32" s="4226"/>
      <c r="CH32" s="4226"/>
      <c r="CI32" s="3972"/>
      <c r="CJ32" s="4226" t="str">
        <f>IF(TITLE_DATE_PR_CHANGE="",IF(TITLE_DATE_PR="","",TITLE_DATE_PR),TITLE_DATE_PR_CHANGE)</f>
        <v>46008.48059027778</v>
      </c>
      <c r="CK32" s="4226"/>
      <c r="CL32" s="4226"/>
      <c r="CM32" s="4226"/>
      <c r="CN32" s="4226"/>
      <c r="CO32" s="4226"/>
      <c r="CP32" s="4226"/>
      <c r="CQ32" s="4226"/>
      <c r="CR32" s="4226"/>
      <c r="CS32" s="4226"/>
      <c r="CT32" s="3972"/>
      <c r="CU32" s="4226" t="str">
        <f>IF(TITLE_DATE_PR_CHANGE="",IF(TITLE_DATE_PR="","",TITLE_DATE_PR),TITLE_DATE_PR_CHANGE)</f>
        <v>46008.48059027778</v>
      </c>
      <c r="CV32" s="4226"/>
      <c r="CW32" s="4226"/>
      <c r="CX32" s="4226"/>
      <c r="CY32" s="4226"/>
      <c r="CZ32" s="4226"/>
      <c r="DA32" s="4226"/>
      <c r="DB32" s="4226"/>
      <c r="DC32" s="4226"/>
      <c r="DD32" s="4226"/>
      <c r="DE32" s="3972"/>
      <c r="DF32" s="4226" t="str">
        <f>IF(TITLE_DATE_PR_CHANGE="",IF(TITLE_DATE_PR="","",TITLE_DATE_PR),TITLE_DATE_PR_CHANGE)</f>
        <v>46008.48059027778</v>
      </c>
      <c r="DG32" s="4226"/>
      <c r="DH32" s="4226"/>
      <c r="DI32" s="4226"/>
      <c r="DJ32" s="4226"/>
      <c r="DK32" s="4226"/>
      <c r="DL32" s="4226"/>
      <c r="DM32" s="4226"/>
      <c r="DN32" s="4226"/>
      <c r="DO32" s="4226"/>
      <c r="DP32" s="6192"/>
      <c r="DQ32" s="390"/>
      <c r="DR32" s="344"/>
      <c r="DS32" s="432"/>
      <c r="DT32" s="432"/>
      <c r="DU32" s="432"/>
      <c r="DV32" s="432"/>
      <c r="DW32" s="432"/>
      <c r="DX32" s="482">
        <v>0</v>
      </c>
    </row>
    <row s="6011" customFormat="1" customHeight="1" ht="18.75" hidden="1">
      <c r="A33" s="1432"/>
      <c r="B33" s="1432"/>
      <c r="C33" s="1432"/>
      <c r="D33" s="1432"/>
      <c r="E33" s="1432"/>
      <c r="F33" s="1432"/>
      <c r="G33" s="1432"/>
      <c r="H33" s="1432"/>
      <c r="I33" s="1432"/>
      <c r="J33" s="1432"/>
      <c r="K33" s="1432"/>
      <c r="L33" s="1433"/>
      <c r="M33" s="1432"/>
      <c r="N33" s="1432"/>
      <c r="O33" s="1432"/>
      <c r="S33" s="2314" t="s">
        <v>428</v>
      </c>
      <c r="T33" s="2314"/>
      <c r="U33" s="1436"/>
      <c r="V33" s="2315" t="str">
        <f>IF(TITLE_NUMBER_PR_CHANGE="",IF(TITLE_NUMBER_PR="","",TITLE_NUMBER_PR),TITLE_NUMBER_PR_CHANGE)</f>
        <v>58</v>
      </c>
      <c r="W33" s="2315"/>
      <c r="X33" s="2315"/>
      <c r="Y33" s="2315"/>
      <c r="Z33" s="2315"/>
      <c r="AA33" s="2315"/>
      <c r="AB33" s="2315"/>
      <c r="AC33" s="2315"/>
      <c r="AD33" s="2315"/>
      <c r="AE33" s="2315"/>
      <c r="AF33" s="390"/>
      <c r="AG33" s="2315" t="str">
        <f>IF(TITLE_NUMBER_PR_CHANGE="",IF(TITLE_NUMBER_PR="","",TITLE_NUMBER_PR),TITLE_NUMBER_PR_CHANGE)</f>
        <v>58</v>
      </c>
      <c r="AH33" s="2315"/>
      <c r="AI33" s="2315"/>
      <c r="AJ33" s="2315"/>
      <c r="AK33" s="2315"/>
      <c r="AL33" s="2315"/>
      <c r="AM33" s="2315"/>
      <c r="AN33" s="2315"/>
      <c r="AO33" s="2315"/>
      <c r="AP33" s="2315"/>
      <c r="AQ33" s="390"/>
      <c r="AR33" s="4225" t="str">
        <f>IF(TITLE_NUMBER_PR_CHANGE="",IF(TITLE_NUMBER_PR="","",TITLE_NUMBER_PR),TITLE_NUMBER_PR_CHANGE)</f>
        <v>58</v>
      </c>
      <c r="AS33" s="4225"/>
      <c r="AT33" s="4225"/>
      <c r="AU33" s="4225"/>
      <c r="AV33" s="4225"/>
      <c r="AW33" s="4225"/>
      <c r="AX33" s="4225"/>
      <c r="AY33" s="4225"/>
      <c r="AZ33" s="4225"/>
      <c r="BA33" s="4225"/>
      <c r="BB33" s="3972"/>
      <c r="BC33" s="4225" t="str">
        <f>IF(TITLE_NUMBER_PR_CHANGE="",IF(TITLE_NUMBER_PR="","",TITLE_NUMBER_PR),TITLE_NUMBER_PR_CHANGE)</f>
        <v>58</v>
      </c>
      <c r="BD33" s="4225"/>
      <c r="BE33" s="4225"/>
      <c r="BF33" s="4225"/>
      <c r="BG33" s="4225"/>
      <c r="BH33" s="4225"/>
      <c r="BI33" s="4225"/>
      <c r="BJ33" s="4225"/>
      <c r="BK33" s="4225"/>
      <c r="BL33" s="4225"/>
      <c r="BM33" s="3972"/>
      <c r="BN33" s="4225" t="str">
        <f>IF(TITLE_NUMBER_PR_CHANGE="",IF(TITLE_NUMBER_PR="","",TITLE_NUMBER_PR),TITLE_NUMBER_PR_CHANGE)</f>
        <v>58</v>
      </c>
      <c r="BO33" s="4225"/>
      <c r="BP33" s="4225"/>
      <c r="BQ33" s="4225"/>
      <c r="BR33" s="4225"/>
      <c r="BS33" s="4225"/>
      <c r="BT33" s="4225"/>
      <c r="BU33" s="4225"/>
      <c r="BV33" s="4225"/>
      <c r="BW33" s="4225"/>
      <c r="BX33" s="3972"/>
      <c r="BY33" s="4225" t="str">
        <f>IF(TITLE_NUMBER_PR_CHANGE="",IF(TITLE_NUMBER_PR="","",TITLE_NUMBER_PR),TITLE_NUMBER_PR_CHANGE)</f>
        <v>58</v>
      </c>
      <c r="BZ33" s="4225"/>
      <c r="CA33" s="4225"/>
      <c r="CB33" s="4225"/>
      <c r="CC33" s="4225"/>
      <c r="CD33" s="4225"/>
      <c r="CE33" s="4225"/>
      <c r="CF33" s="4225"/>
      <c r="CG33" s="4225"/>
      <c r="CH33" s="4225"/>
      <c r="CI33" s="3972"/>
      <c r="CJ33" s="4225" t="str">
        <f>IF(TITLE_NUMBER_PR_CHANGE="",IF(TITLE_NUMBER_PR="","",TITLE_NUMBER_PR),TITLE_NUMBER_PR_CHANGE)</f>
        <v>58</v>
      </c>
      <c r="CK33" s="4225"/>
      <c r="CL33" s="4225"/>
      <c r="CM33" s="4225"/>
      <c r="CN33" s="4225"/>
      <c r="CO33" s="4225"/>
      <c r="CP33" s="4225"/>
      <c r="CQ33" s="4225"/>
      <c r="CR33" s="4225"/>
      <c r="CS33" s="4225"/>
      <c r="CT33" s="3972"/>
      <c r="CU33" s="4225" t="str">
        <f>IF(TITLE_NUMBER_PR_CHANGE="",IF(TITLE_NUMBER_PR="","",TITLE_NUMBER_PR),TITLE_NUMBER_PR_CHANGE)</f>
        <v>58</v>
      </c>
      <c r="CV33" s="4225"/>
      <c r="CW33" s="4225"/>
      <c r="CX33" s="4225"/>
      <c r="CY33" s="4225"/>
      <c r="CZ33" s="4225"/>
      <c r="DA33" s="4225"/>
      <c r="DB33" s="4225"/>
      <c r="DC33" s="4225"/>
      <c r="DD33" s="4225"/>
      <c r="DE33" s="3972"/>
      <c r="DF33" s="4225" t="str">
        <f>IF(TITLE_NUMBER_PR_CHANGE="",IF(TITLE_NUMBER_PR="","",TITLE_NUMBER_PR),TITLE_NUMBER_PR_CHANGE)</f>
        <v>58</v>
      </c>
      <c r="DG33" s="4225"/>
      <c r="DH33" s="4225"/>
      <c r="DI33" s="4225"/>
      <c r="DJ33" s="4225"/>
      <c r="DK33" s="4225"/>
      <c r="DL33" s="4225"/>
      <c r="DM33" s="4225"/>
      <c r="DN33" s="4225"/>
      <c r="DO33" s="4225"/>
      <c r="DP33" s="6192"/>
      <c r="DQ33" s="390"/>
      <c r="DR33" s="344"/>
      <c r="DS33" s="432"/>
      <c r="DT33" s="432"/>
      <c r="DU33" s="432"/>
      <c r="DV33" s="432"/>
      <c r="DW33" s="432"/>
      <c r="DX33" s="482">
        <v>0</v>
      </c>
    </row>
    <row s="601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429</v>
      </c>
      <c r="AG34" s="390"/>
      <c r="AH34" s="1699"/>
      <c r="AI34" s="1699"/>
      <c r="AJ34" s="1699"/>
      <c r="AK34" s="1699"/>
      <c r="AL34" s="1699"/>
      <c r="AM34" s="390"/>
      <c r="AN34" s="390"/>
      <c r="AO34" s="390"/>
      <c r="AP34" s="390"/>
      <c r="AQ34" s="342" t="s">
        <v>429</v>
      </c>
      <c r="AR34" s="3972"/>
      <c r="AS34" s="3972"/>
      <c r="AT34" s="3972"/>
      <c r="AU34" s="3972"/>
      <c r="AV34" s="3972"/>
      <c r="AW34" s="3972"/>
      <c r="AX34" s="3972"/>
      <c r="AY34" s="3972"/>
      <c r="AZ34" s="3972"/>
      <c r="BA34" s="3972"/>
      <c r="BB34" s="4227" t="s">
        <v>429</v>
      </c>
      <c r="BC34" s="3972"/>
      <c r="BD34" s="3972"/>
      <c r="BE34" s="3972"/>
      <c r="BF34" s="3972"/>
      <c r="BG34" s="3972"/>
      <c r="BH34" s="3972"/>
      <c r="BI34" s="3972"/>
      <c r="BJ34" s="3972"/>
      <c r="BK34" s="3972"/>
      <c r="BL34" s="3972"/>
      <c r="BM34" s="4227" t="s">
        <v>429</v>
      </c>
      <c r="BN34" s="3972"/>
      <c r="BO34" s="3972"/>
      <c r="BP34" s="3972"/>
      <c r="BQ34" s="3972"/>
      <c r="BR34" s="3972"/>
      <c r="BS34" s="3972"/>
      <c r="BT34" s="3972"/>
      <c r="BU34" s="3972"/>
      <c r="BV34" s="3972"/>
      <c r="BW34" s="3972"/>
      <c r="BX34" s="4227" t="s">
        <v>429</v>
      </c>
      <c r="BY34" s="3972"/>
      <c r="BZ34" s="3972"/>
      <c r="CA34" s="3972"/>
      <c r="CB34" s="3972"/>
      <c r="CC34" s="3972"/>
      <c r="CD34" s="3972"/>
      <c r="CE34" s="3972"/>
      <c r="CF34" s="3972"/>
      <c r="CG34" s="3972"/>
      <c r="CH34" s="3972"/>
      <c r="CI34" s="4227" t="s">
        <v>429</v>
      </c>
      <c r="CJ34" s="3972"/>
      <c r="CK34" s="3972"/>
      <c r="CL34" s="3972"/>
      <c r="CM34" s="3972"/>
      <c r="CN34" s="3972"/>
      <c r="CO34" s="3972"/>
      <c r="CP34" s="3972"/>
      <c r="CQ34" s="3972"/>
      <c r="CR34" s="3972"/>
      <c r="CS34" s="3972"/>
      <c r="CT34" s="4227" t="s">
        <v>429</v>
      </c>
      <c r="CU34" s="3972"/>
      <c r="CV34" s="3972"/>
      <c r="CW34" s="3972"/>
      <c r="CX34" s="3972"/>
      <c r="CY34" s="3972"/>
      <c r="CZ34" s="3972"/>
      <c r="DA34" s="3972"/>
      <c r="DB34" s="3972"/>
      <c r="DC34" s="3972"/>
      <c r="DD34" s="3972"/>
      <c r="DE34" s="4227" t="s">
        <v>429</v>
      </c>
      <c r="DF34" s="3972"/>
      <c r="DG34" s="3972"/>
      <c r="DH34" s="3972"/>
      <c r="DI34" s="3972"/>
      <c r="DJ34" s="3972"/>
      <c r="DK34" s="3972"/>
      <c r="DL34" s="3972"/>
      <c r="DM34" s="3972"/>
      <c r="DN34" s="3972"/>
      <c r="DO34" s="3972"/>
      <c r="DP34" s="6206" t="s">
        <v>429</v>
      </c>
      <c r="DS34" s="432"/>
      <c r="DT34" s="432"/>
      <c r="DU34" s="432"/>
      <c r="DV34" s="432"/>
      <c r="DW34" s="432"/>
      <c r="DX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R35" s="4228" t="s">
        <v>533</v>
      </c>
      <c r="AS35" s="4228"/>
      <c r="AT35" s="4228"/>
      <c r="AU35" s="4228"/>
      <c r="AV35" s="4228"/>
      <c r="AW35" s="4228"/>
      <c r="AX35" s="4228"/>
      <c r="AY35" s="4228"/>
      <c r="AZ35" s="4228"/>
      <c r="BA35" s="4228"/>
      <c r="BB35" s="4228"/>
      <c r="BC35" s="4228" t="s">
        <v>533</v>
      </c>
      <c r="BD35" s="4228"/>
      <c r="BE35" s="4228"/>
      <c r="BF35" s="4228"/>
      <c r="BG35" s="4228"/>
      <c r="BH35" s="4228"/>
      <c r="BI35" s="4228"/>
      <c r="BJ35" s="4228"/>
      <c r="BK35" s="4228"/>
      <c r="BL35" s="4228"/>
      <c r="BM35" s="4228"/>
      <c r="BN35" s="4228" t="s">
        <v>533</v>
      </c>
      <c r="BO35" s="4228"/>
      <c r="BP35" s="4228"/>
      <c r="BQ35" s="4228"/>
      <c r="BR35" s="4228"/>
      <c r="BS35" s="4228"/>
      <c r="BT35" s="4228"/>
      <c r="BU35" s="4228"/>
      <c r="BV35" s="4228"/>
      <c r="BW35" s="4228"/>
      <c r="BX35" s="4228"/>
      <c r="BY35" s="4228" t="s">
        <v>533</v>
      </c>
      <c r="BZ35" s="4228"/>
      <c r="CA35" s="4228"/>
      <c r="CB35" s="4228"/>
      <c r="CC35" s="4228"/>
      <c r="CD35" s="4228"/>
      <c r="CE35" s="4228"/>
      <c r="CF35" s="4228"/>
      <c r="CG35" s="4228"/>
      <c r="CH35" s="4228"/>
      <c r="CI35" s="4228"/>
      <c r="CJ35" s="4228" t="s">
        <v>533</v>
      </c>
      <c r="CK35" s="4228"/>
      <c r="CL35" s="4228"/>
      <c r="CM35" s="4228"/>
      <c r="CN35" s="4228"/>
      <c r="CO35" s="4228"/>
      <c r="CP35" s="4228"/>
      <c r="CQ35" s="4228"/>
      <c r="CR35" s="4228"/>
      <c r="CS35" s="4228"/>
      <c r="CT35" s="4228"/>
      <c r="CU35" s="4228" t="s">
        <v>533</v>
      </c>
      <c r="CV35" s="4228"/>
      <c r="CW35" s="4228"/>
      <c r="CX35" s="4228"/>
      <c r="CY35" s="4228"/>
      <c r="CZ35" s="4228"/>
      <c r="DA35" s="4228"/>
      <c r="DB35" s="4228"/>
      <c r="DC35" s="4228"/>
      <c r="DD35" s="4228"/>
      <c r="DE35" s="4228"/>
      <c r="DF35" s="4228" t="s">
        <v>533</v>
      </c>
      <c r="DG35" s="4228"/>
      <c r="DH35" s="4228"/>
      <c r="DI35" s="4228"/>
      <c r="DJ35" s="4228"/>
      <c r="DK35" s="4228"/>
      <c r="DL35" s="4228"/>
      <c r="DM35" s="4228"/>
      <c r="DN35" s="4228"/>
      <c r="DO35" s="4228"/>
      <c r="DP35" s="6207"/>
      <c r="DX35" s="1219">
        <v>14</v>
      </c>
    </row>
    <row customHeight="1" ht="15">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4229" t="s">
        <v>304</v>
      </c>
      <c r="AS36" s="4229"/>
      <c r="AT36" s="4229"/>
      <c r="AU36" s="4229"/>
      <c r="AV36" s="4229"/>
      <c r="AW36" s="4229"/>
      <c r="AX36" s="4229"/>
      <c r="AY36" s="4229"/>
      <c r="AZ36" s="4229"/>
      <c r="BA36" s="4229"/>
      <c r="BB36" s="4229"/>
      <c r="BC36" s="4229" t="s">
        <v>304</v>
      </c>
      <c r="BD36" s="4229"/>
      <c r="BE36" s="4229"/>
      <c r="BF36" s="4229"/>
      <c r="BG36" s="4229"/>
      <c r="BH36" s="4229"/>
      <c r="BI36" s="4229"/>
      <c r="BJ36" s="4229"/>
      <c r="BK36" s="4229"/>
      <c r="BL36" s="4229"/>
      <c r="BM36" s="4229"/>
      <c r="BN36" s="4229" t="s">
        <v>304</v>
      </c>
      <c r="BO36" s="4229"/>
      <c r="BP36" s="4229"/>
      <c r="BQ36" s="4229"/>
      <c r="BR36" s="4229"/>
      <c r="BS36" s="4229"/>
      <c r="BT36" s="4229"/>
      <c r="BU36" s="4229"/>
      <c r="BV36" s="4229"/>
      <c r="BW36" s="4229"/>
      <c r="BX36" s="4229"/>
      <c r="BY36" s="4229" t="s">
        <v>304</v>
      </c>
      <c r="BZ36" s="4229"/>
      <c r="CA36" s="4229"/>
      <c r="CB36" s="4229"/>
      <c r="CC36" s="4229"/>
      <c r="CD36" s="4229"/>
      <c r="CE36" s="4229"/>
      <c r="CF36" s="4229"/>
      <c r="CG36" s="4229"/>
      <c r="CH36" s="4229"/>
      <c r="CI36" s="4229"/>
      <c r="CJ36" s="4229" t="s">
        <v>304</v>
      </c>
      <c r="CK36" s="4229"/>
      <c r="CL36" s="4229"/>
      <c r="CM36" s="4229"/>
      <c r="CN36" s="4229"/>
      <c r="CO36" s="4229"/>
      <c r="CP36" s="4229"/>
      <c r="CQ36" s="4229"/>
      <c r="CR36" s="4229"/>
      <c r="CS36" s="4229"/>
      <c r="CT36" s="4229"/>
      <c r="CU36" s="4229" t="s">
        <v>304</v>
      </c>
      <c r="CV36" s="4229"/>
      <c r="CW36" s="4229"/>
      <c r="CX36" s="4229"/>
      <c r="CY36" s="4229"/>
      <c r="CZ36" s="4229"/>
      <c r="DA36" s="4229"/>
      <c r="DB36" s="4229"/>
      <c r="DC36" s="4229"/>
      <c r="DD36" s="4229"/>
      <c r="DE36" s="4229"/>
      <c r="DF36" s="4229" t="s">
        <v>304</v>
      </c>
      <c r="DG36" s="4229"/>
      <c r="DH36" s="4229"/>
      <c r="DI36" s="4229"/>
      <c r="DJ36" s="4229"/>
      <c r="DK36" s="4229"/>
      <c r="DL36" s="4229"/>
      <c r="DM36" s="4229"/>
      <c r="DN36" s="4229"/>
      <c r="DO36" s="4229"/>
      <c r="DP36" s="6208"/>
      <c r="DQ36" s="2191"/>
      <c r="DR36" s="2191"/>
      <c r="DX36" s="1219"/>
    </row>
    <row customHeight="1" ht="14.699999999999998">
      <c r="Q37" s="440"/>
      <c r="R37" s="440"/>
      <c r="S37" s="2337" t="s">
        <v>89</v>
      </c>
      <c r="T37" s="2273" t="s">
        <v>430</v>
      </c>
      <c r="U37" s="365"/>
      <c r="V37" s="2338" t="s">
        <v>431</v>
      </c>
      <c r="W37" s="2355"/>
      <c r="X37" s="2355"/>
      <c r="Y37" s="2355"/>
      <c r="Z37" s="2355"/>
      <c r="AA37" s="2355"/>
      <c r="AB37" s="2355"/>
      <c r="AC37" s="2339"/>
      <c r="AD37" s="2339"/>
      <c r="AE37" s="2340"/>
      <c r="AF37" s="2341" t="s">
        <v>432</v>
      </c>
      <c r="AG37" s="2338" t="s">
        <v>431</v>
      </c>
      <c r="AH37" s="2339"/>
      <c r="AI37" s="2339"/>
      <c r="AJ37" s="2339"/>
      <c r="AK37" s="2339"/>
      <c r="AL37" s="2339"/>
      <c r="AM37" s="2339"/>
      <c r="AN37" s="2339"/>
      <c r="AO37" s="2339"/>
      <c r="AP37" s="2340"/>
      <c r="AQ37" s="2341" t="s">
        <v>433</v>
      </c>
      <c r="AR37" s="4230" t="s">
        <v>431</v>
      </c>
      <c r="AS37" s="4231"/>
      <c r="AT37" s="4231"/>
      <c r="AU37" s="4231"/>
      <c r="AV37" s="4231"/>
      <c r="AW37" s="4231"/>
      <c r="AX37" s="4231"/>
      <c r="AY37" s="4232"/>
      <c r="AZ37" s="4232"/>
      <c r="BA37" s="4233"/>
      <c r="BB37" s="4234" t="s">
        <v>432</v>
      </c>
      <c r="BC37" s="4230" t="s">
        <v>431</v>
      </c>
      <c r="BD37" s="4231"/>
      <c r="BE37" s="4231"/>
      <c r="BF37" s="4231"/>
      <c r="BG37" s="4231"/>
      <c r="BH37" s="4231"/>
      <c r="BI37" s="4231"/>
      <c r="BJ37" s="4232"/>
      <c r="BK37" s="4232"/>
      <c r="BL37" s="4233"/>
      <c r="BM37" s="4234" t="s">
        <v>432</v>
      </c>
      <c r="BN37" s="4230" t="s">
        <v>431</v>
      </c>
      <c r="BO37" s="4231"/>
      <c r="BP37" s="4231"/>
      <c r="BQ37" s="4231"/>
      <c r="BR37" s="4231"/>
      <c r="BS37" s="4231"/>
      <c r="BT37" s="4231"/>
      <c r="BU37" s="4232"/>
      <c r="BV37" s="4232"/>
      <c r="BW37" s="4233"/>
      <c r="BX37" s="4234" t="s">
        <v>432</v>
      </c>
      <c r="BY37" s="4230" t="s">
        <v>431</v>
      </c>
      <c r="BZ37" s="4231"/>
      <c r="CA37" s="4231"/>
      <c r="CB37" s="4231"/>
      <c r="CC37" s="4231"/>
      <c r="CD37" s="4231"/>
      <c r="CE37" s="4231"/>
      <c r="CF37" s="4232"/>
      <c r="CG37" s="4232"/>
      <c r="CH37" s="4233"/>
      <c r="CI37" s="4234" t="s">
        <v>432</v>
      </c>
      <c r="CJ37" s="4230" t="s">
        <v>431</v>
      </c>
      <c r="CK37" s="4231"/>
      <c r="CL37" s="4231"/>
      <c r="CM37" s="4231"/>
      <c r="CN37" s="4231"/>
      <c r="CO37" s="4231"/>
      <c r="CP37" s="4231"/>
      <c r="CQ37" s="4232"/>
      <c r="CR37" s="4232"/>
      <c r="CS37" s="4233"/>
      <c r="CT37" s="4234" t="s">
        <v>432</v>
      </c>
      <c r="CU37" s="4230" t="s">
        <v>431</v>
      </c>
      <c r="CV37" s="4231"/>
      <c r="CW37" s="4231"/>
      <c r="CX37" s="4231"/>
      <c r="CY37" s="4231"/>
      <c r="CZ37" s="4231"/>
      <c r="DA37" s="4231"/>
      <c r="DB37" s="4232"/>
      <c r="DC37" s="4232"/>
      <c r="DD37" s="4233"/>
      <c r="DE37" s="4234" t="s">
        <v>432</v>
      </c>
      <c r="DF37" s="4230" t="s">
        <v>431</v>
      </c>
      <c r="DG37" s="4231"/>
      <c r="DH37" s="4231"/>
      <c r="DI37" s="4231"/>
      <c r="DJ37" s="4231"/>
      <c r="DK37" s="4231"/>
      <c r="DL37" s="4231"/>
      <c r="DM37" s="4232"/>
      <c r="DN37" s="4232"/>
      <c r="DO37" s="4233"/>
      <c r="DP37" s="6209" t="s">
        <v>432</v>
      </c>
      <c r="DQ37" s="2344" t="s">
        <v>434</v>
      </c>
      <c r="DR37" s="2191"/>
      <c r="DX37" s="1219">
        <v>14</v>
      </c>
    </row>
    <row customHeight="1" ht="19.95">
      <c r="Q38" s="440"/>
      <c r="R38" s="440"/>
      <c r="S38" s="2337"/>
      <c r="T38" s="2273"/>
      <c r="U38" s="1095"/>
      <c r="V38" s="2430" t="s">
        <v>534</v>
      </c>
      <c r="W38" s="2429" t="s">
        <v>535</v>
      </c>
      <c r="X38" s="2429"/>
      <c r="Y38" s="2429"/>
      <c r="Z38" s="2429" t="s">
        <v>536</v>
      </c>
      <c r="AA38" s="2429"/>
      <c r="AB38" s="2429"/>
      <c r="AC38" s="2358" t="s">
        <v>438</v>
      </c>
      <c r="AD38" s="2377"/>
      <c r="AE38" s="2378"/>
      <c r="AF38" s="2342"/>
      <c r="AG38" s="2430" t="s">
        <v>534</v>
      </c>
      <c r="AH38" s="2429" t="s">
        <v>535</v>
      </c>
      <c r="AI38" s="2429"/>
      <c r="AJ38" s="2429"/>
      <c r="AK38" s="2429" t="s">
        <v>536</v>
      </c>
      <c r="AL38" s="2429"/>
      <c r="AM38" s="2429"/>
      <c r="AN38" s="2358" t="s">
        <v>438</v>
      </c>
      <c r="AO38" s="2377"/>
      <c r="AP38" s="2378"/>
      <c r="AQ38" s="2342"/>
      <c r="AR38" s="4237" t="s">
        <v>534</v>
      </c>
      <c r="AS38" s="4238" t="s">
        <v>535</v>
      </c>
      <c r="AT38" s="4238"/>
      <c r="AU38" s="4238"/>
      <c r="AV38" s="4238" t="s">
        <v>536</v>
      </c>
      <c r="AW38" s="4238"/>
      <c r="AX38" s="4238"/>
      <c r="AY38" s="4239" t="s">
        <v>438</v>
      </c>
      <c r="AZ38" s="4240"/>
      <c r="BA38" s="4241"/>
      <c r="BB38" s="4242"/>
      <c r="BC38" s="4237" t="s">
        <v>534</v>
      </c>
      <c r="BD38" s="4238" t="s">
        <v>535</v>
      </c>
      <c r="BE38" s="4238"/>
      <c r="BF38" s="4238"/>
      <c r="BG38" s="4238" t="s">
        <v>536</v>
      </c>
      <c r="BH38" s="4238"/>
      <c r="BI38" s="4238"/>
      <c r="BJ38" s="4239" t="s">
        <v>438</v>
      </c>
      <c r="BK38" s="4240"/>
      <c r="BL38" s="4241"/>
      <c r="BM38" s="4242"/>
      <c r="BN38" s="4237" t="s">
        <v>534</v>
      </c>
      <c r="BO38" s="4238" t="s">
        <v>535</v>
      </c>
      <c r="BP38" s="4238"/>
      <c r="BQ38" s="4238"/>
      <c r="BR38" s="4238" t="s">
        <v>536</v>
      </c>
      <c r="BS38" s="4238"/>
      <c r="BT38" s="4238"/>
      <c r="BU38" s="4239" t="s">
        <v>438</v>
      </c>
      <c r="BV38" s="4240"/>
      <c r="BW38" s="4241"/>
      <c r="BX38" s="4242"/>
      <c r="BY38" s="4237" t="s">
        <v>534</v>
      </c>
      <c r="BZ38" s="4238" t="s">
        <v>535</v>
      </c>
      <c r="CA38" s="4238"/>
      <c r="CB38" s="4238"/>
      <c r="CC38" s="4238" t="s">
        <v>536</v>
      </c>
      <c r="CD38" s="4238"/>
      <c r="CE38" s="4238"/>
      <c r="CF38" s="4239" t="s">
        <v>438</v>
      </c>
      <c r="CG38" s="4240"/>
      <c r="CH38" s="4241"/>
      <c r="CI38" s="4242"/>
      <c r="CJ38" s="4237" t="s">
        <v>534</v>
      </c>
      <c r="CK38" s="4238" t="s">
        <v>535</v>
      </c>
      <c r="CL38" s="4238"/>
      <c r="CM38" s="4238"/>
      <c r="CN38" s="4238" t="s">
        <v>536</v>
      </c>
      <c r="CO38" s="4238"/>
      <c r="CP38" s="4238"/>
      <c r="CQ38" s="4239" t="s">
        <v>438</v>
      </c>
      <c r="CR38" s="4240"/>
      <c r="CS38" s="4241"/>
      <c r="CT38" s="4242"/>
      <c r="CU38" s="4237" t="s">
        <v>534</v>
      </c>
      <c r="CV38" s="4238" t="s">
        <v>535</v>
      </c>
      <c r="CW38" s="4238"/>
      <c r="CX38" s="4238"/>
      <c r="CY38" s="4238" t="s">
        <v>536</v>
      </c>
      <c r="CZ38" s="4238"/>
      <c r="DA38" s="4238"/>
      <c r="DB38" s="4239" t="s">
        <v>438</v>
      </c>
      <c r="DC38" s="4240"/>
      <c r="DD38" s="4241"/>
      <c r="DE38" s="4242"/>
      <c r="DF38" s="4237" t="s">
        <v>534</v>
      </c>
      <c r="DG38" s="4238" t="s">
        <v>535</v>
      </c>
      <c r="DH38" s="4238"/>
      <c r="DI38" s="4238"/>
      <c r="DJ38" s="4238" t="s">
        <v>536</v>
      </c>
      <c r="DK38" s="4238"/>
      <c r="DL38" s="4238"/>
      <c r="DM38" s="4239" t="s">
        <v>438</v>
      </c>
      <c r="DN38" s="4240"/>
      <c r="DO38" s="4241"/>
      <c r="DP38" s="6210"/>
      <c r="DQ38" s="2345"/>
      <c r="DR38" s="2191"/>
      <c r="DX38" s="1219">
        <v>19</v>
      </c>
    </row>
    <row s="546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537</v>
      </c>
      <c r="X39" s="2429" t="s">
        <v>538</v>
      </c>
      <c r="Y39" s="2429"/>
      <c r="Z39" s="2429" t="s">
        <v>539</v>
      </c>
      <c r="AA39" s="2429" t="s">
        <v>538</v>
      </c>
      <c r="AB39" s="2429"/>
      <c r="AC39" s="2359"/>
      <c r="AD39" s="2379"/>
      <c r="AE39" s="2380"/>
      <c r="AF39" s="2342"/>
      <c r="AG39" s="2430"/>
      <c r="AH39" s="2429" t="s">
        <v>537</v>
      </c>
      <c r="AI39" s="2429" t="s">
        <v>538</v>
      </c>
      <c r="AJ39" s="2429"/>
      <c r="AK39" s="2429" t="s">
        <v>539</v>
      </c>
      <c r="AL39" s="2429" t="s">
        <v>538</v>
      </c>
      <c r="AM39" s="2429"/>
      <c r="AN39" s="2359"/>
      <c r="AO39" s="2379"/>
      <c r="AP39" s="2380"/>
      <c r="AQ39" s="2342"/>
      <c r="AR39" s="4237"/>
      <c r="AS39" s="4238" t="s">
        <v>537</v>
      </c>
      <c r="AT39" s="4238" t="s">
        <v>538</v>
      </c>
      <c r="AU39" s="4238"/>
      <c r="AV39" s="4238" t="s">
        <v>539</v>
      </c>
      <c r="AW39" s="4238" t="s">
        <v>538</v>
      </c>
      <c r="AX39" s="4238"/>
      <c r="AY39" s="4244"/>
      <c r="AZ39" s="4245"/>
      <c r="BA39" s="4246"/>
      <c r="BB39" s="4242"/>
      <c r="BC39" s="4237"/>
      <c r="BD39" s="4238" t="s">
        <v>537</v>
      </c>
      <c r="BE39" s="4238" t="s">
        <v>538</v>
      </c>
      <c r="BF39" s="4238"/>
      <c r="BG39" s="4238" t="s">
        <v>539</v>
      </c>
      <c r="BH39" s="4238" t="s">
        <v>538</v>
      </c>
      <c r="BI39" s="4238"/>
      <c r="BJ39" s="4244"/>
      <c r="BK39" s="4245"/>
      <c r="BL39" s="4246"/>
      <c r="BM39" s="4242"/>
      <c r="BN39" s="4237"/>
      <c r="BO39" s="4238" t="s">
        <v>537</v>
      </c>
      <c r="BP39" s="4238" t="s">
        <v>538</v>
      </c>
      <c r="BQ39" s="4238"/>
      <c r="BR39" s="4238" t="s">
        <v>539</v>
      </c>
      <c r="BS39" s="4238" t="s">
        <v>538</v>
      </c>
      <c r="BT39" s="4238"/>
      <c r="BU39" s="4244"/>
      <c r="BV39" s="4245"/>
      <c r="BW39" s="4246"/>
      <c r="BX39" s="4242"/>
      <c r="BY39" s="4237"/>
      <c r="BZ39" s="4238" t="s">
        <v>537</v>
      </c>
      <c r="CA39" s="4238" t="s">
        <v>538</v>
      </c>
      <c r="CB39" s="4238"/>
      <c r="CC39" s="4238" t="s">
        <v>539</v>
      </c>
      <c r="CD39" s="4238" t="s">
        <v>538</v>
      </c>
      <c r="CE39" s="4238"/>
      <c r="CF39" s="4244"/>
      <c r="CG39" s="4245"/>
      <c r="CH39" s="4246"/>
      <c r="CI39" s="4242"/>
      <c r="CJ39" s="4237"/>
      <c r="CK39" s="4238" t="s">
        <v>537</v>
      </c>
      <c r="CL39" s="4238" t="s">
        <v>538</v>
      </c>
      <c r="CM39" s="4238"/>
      <c r="CN39" s="4238" t="s">
        <v>539</v>
      </c>
      <c r="CO39" s="4238" t="s">
        <v>538</v>
      </c>
      <c r="CP39" s="4238"/>
      <c r="CQ39" s="4244"/>
      <c r="CR39" s="4245"/>
      <c r="CS39" s="4246"/>
      <c r="CT39" s="4242"/>
      <c r="CU39" s="4237"/>
      <c r="CV39" s="4238" t="s">
        <v>537</v>
      </c>
      <c r="CW39" s="4238" t="s">
        <v>538</v>
      </c>
      <c r="CX39" s="4238"/>
      <c r="CY39" s="4238" t="s">
        <v>539</v>
      </c>
      <c r="CZ39" s="4238" t="s">
        <v>538</v>
      </c>
      <c r="DA39" s="4238"/>
      <c r="DB39" s="4244"/>
      <c r="DC39" s="4245"/>
      <c r="DD39" s="4246"/>
      <c r="DE39" s="4242"/>
      <c r="DF39" s="4237"/>
      <c r="DG39" s="4238" t="s">
        <v>537</v>
      </c>
      <c r="DH39" s="4238" t="s">
        <v>538</v>
      </c>
      <c r="DI39" s="4238"/>
      <c r="DJ39" s="4238" t="s">
        <v>539</v>
      </c>
      <c r="DK39" s="4238" t="s">
        <v>538</v>
      </c>
      <c r="DL39" s="4238"/>
      <c r="DM39" s="4244"/>
      <c r="DN39" s="4245"/>
      <c r="DO39" s="4246"/>
      <c r="DP39" s="6210"/>
      <c r="DQ39" s="2345"/>
      <c r="DR39" s="2191"/>
      <c r="DS39" s="1700"/>
      <c r="DT39" s="1700"/>
      <c r="DU39" s="1700"/>
      <c r="DV39" s="1700"/>
      <c r="DW39" s="1700"/>
      <c r="DX39" s="1695">
        <v>19</v>
      </c>
    </row>
    <row customHeight="1" ht="61.949999999999996">
      <c r="A40" s="1434"/>
      <c r="B40" s="1434" t="s">
        <v>136</v>
      </c>
      <c r="C40" s="1434" t="s">
        <v>137</v>
      </c>
      <c r="D40" s="1434" t="s">
        <v>138</v>
      </c>
      <c r="E40" s="1428" t="s">
        <v>439</v>
      </c>
      <c r="F40" s="1428" t="s">
        <v>440</v>
      </c>
      <c r="G40" s="1428" t="s">
        <v>441</v>
      </c>
      <c r="H40" s="1428"/>
      <c r="I40" s="1428" t="s">
        <v>491</v>
      </c>
      <c r="J40" s="1428" t="s">
        <v>444</v>
      </c>
      <c r="K40" s="1428" t="s">
        <v>492</v>
      </c>
      <c r="L40" s="1428" t="s">
        <v>420</v>
      </c>
      <c r="Q40" s="440"/>
      <c r="R40" s="440"/>
      <c r="S40" s="2337"/>
      <c r="T40" s="2273"/>
      <c r="U40" s="366"/>
      <c r="V40" s="2430"/>
      <c r="W40" s="2429"/>
      <c r="X40" s="2047" t="s">
        <v>540</v>
      </c>
      <c r="Y40" s="2047" t="s">
        <v>541</v>
      </c>
      <c r="Z40" s="2429"/>
      <c r="AA40" s="2047" t="s">
        <v>542</v>
      </c>
      <c r="AB40" s="2047" t="s">
        <v>543</v>
      </c>
      <c r="AC40" s="1553" t="s">
        <v>448</v>
      </c>
      <c r="AD40" s="2334" t="s">
        <v>449</v>
      </c>
      <c r="AE40" s="2335"/>
      <c r="AF40" s="2343"/>
      <c r="AG40" s="2430"/>
      <c r="AH40" s="2429"/>
      <c r="AI40" s="2047" t="s">
        <v>540</v>
      </c>
      <c r="AJ40" s="2047" t="s">
        <v>541</v>
      </c>
      <c r="AK40" s="2429"/>
      <c r="AL40" s="2047" t="s">
        <v>542</v>
      </c>
      <c r="AM40" s="2047" t="s">
        <v>543</v>
      </c>
      <c r="AN40" s="1553" t="s">
        <v>448</v>
      </c>
      <c r="AO40" s="2334" t="s">
        <v>449</v>
      </c>
      <c r="AP40" s="2335"/>
      <c r="AQ40" s="2343"/>
      <c r="AR40" s="4237"/>
      <c r="AS40" s="4238"/>
      <c r="AT40" s="4238" t="s">
        <v>540</v>
      </c>
      <c r="AU40" s="4238" t="s">
        <v>541</v>
      </c>
      <c r="AV40" s="4238"/>
      <c r="AW40" s="4238" t="s">
        <v>542</v>
      </c>
      <c r="AX40" s="4238" t="s">
        <v>543</v>
      </c>
      <c r="AY40" s="4248" t="s">
        <v>448</v>
      </c>
      <c r="AZ40" s="4249" t="s">
        <v>449</v>
      </c>
      <c r="BA40" s="4250"/>
      <c r="BB40" s="4251"/>
      <c r="BC40" s="4237"/>
      <c r="BD40" s="4238"/>
      <c r="BE40" s="4238" t="s">
        <v>540</v>
      </c>
      <c r="BF40" s="4238" t="s">
        <v>541</v>
      </c>
      <c r="BG40" s="4238"/>
      <c r="BH40" s="4238" t="s">
        <v>542</v>
      </c>
      <c r="BI40" s="4238" t="s">
        <v>543</v>
      </c>
      <c r="BJ40" s="4248" t="s">
        <v>448</v>
      </c>
      <c r="BK40" s="4249" t="s">
        <v>449</v>
      </c>
      <c r="BL40" s="4250"/>
      <c r="BM40" s="4251"/>
      <c r="BN40" s="4237"/>
      <c r="BO40" s="4238"/>
      <c r="BP40" s="4238" t="s">
        <v>540</v>
      </c>
      <c r="BQ40" s="4238" t="s">
        <v>541</v>
      </c>
      <c r="BR40" s="4238"/>
      <c r="BS40" s="4238" t="s">
        <v>542</v>
      </c>
      <c r="BT40" s="4238" t="s">
        <v>543</v>
      </c>
      <c r="BU40" s="4248" t="s">
        <v>448</v>
      </c>
      <c r="BV40" s="4249" t="s">
        <v>449</v>
      </c>
      <c r="BW40" s="4250"/>
      <c r="BX40" s="4251"/>
      <c r="BY40" s="4237"/>
      <c r="BZ40" s="4238"/>
      <c r="CA40" s="4238" t="s">
        <v>540</v>
      </c>
      <c r="CB40" s="4238" t="s">
        <v>541</v>
      </c>
      <c r="CC40" s="4238"/>
      <c r="CD40" s="4238" t="s">
        <v>542</v>
      </c>
      <c r="CE40" s="4238" t="s">
        <v>543</v>
      </c>
      <c r="CF40" s="4248" t="s">
        <v>448</v>
      </c>
      <c r="CG40" s="4249" t="s">
        <v>449</v>
      </c>
      <c r="CH40" s="4250"/>
      <c r="CI40" s="4251"/>
      <c r="CJ40" s="4237"/>
      <c r="CK40" s="4238"/>
      <c r="CL40" s="4238" t="s">
        <v>540</v>
      </c>
      <c r="CM40" s="4238" t="s">
        <v>541</v>
      </c>
      <c r="CN40" s="4238"/>
      <c r="CO40" s="4238" t="s">
        <v>542</v>
      </c>
      <c r="CP40" s="4238" t="s">
        <v>543</v>
      </c>
      <c r="CQ40" s="4248" t="s">
        <v>448</v>
      </c>
      <c r="CR40" s="4249" t="s">
        <v>449</v>
      </c>
      <c r="CS40" s="4250"/>
      <c r="CT40" s="4251"/>
      <c r="CU40" s="4237"/>
      <c r="CV40" s="4238"/>
      <c r="CW40" s="4238" t="s">
        <v>540</v>
      </c>
      <c r="CX40" s="4238" t="s">
        <v>541</v>
      </c>
      <c r="CY40" s="4238"/>
      <c r="CZ40" s="4238" t="s">
        <v>542</v>
      </c>
      <c r="DA40" s="4238" t="s">
        <v>543</v>
      </c>
      <c r="DB40" s="4248" t="s">
        <v>448</v>
      </c>
      <c r="DC40" s="4249" t="s">
        <v>449</v>
      </c>
      <c r="DD40" s="4250"/>
      <c r="DE40" s="4251"/>
      <c r="DF40" s="4237"/>
      <c r="DG40" s="4238"/>
      <c r="DH40" s="4238" t="s">
        <v>540</v>
      </c>
      <c r="DI40" s="4238" t="s">
        <v>541</v>
      </c>
      <c r="DJ40" s="4238"/>
      <c r="DK40" s="4238" t="s">
        <v>542</v>
      </c>
      <c r="DL40" s="4238" t="s">
        <v>543</v>
      </c>
      <c r="DM40" s="4248" t="s">
        <v>448</v>
      </c>
      <c r="DN40" s="4249" t="s">
        <v>449</v>
      </c>
      <c r="DO40" s="4250"/>
      <c r="DP40" s="6211"/>
      <c r="DQ40" s="2346"/>
      <c r="DR40" s="2191"/>
      <c r="DX40" s="1219">
        <v>59</v>
      </c>
    </row>
    <row s="3710"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110</v>
      </c>
      <c r="T41" s="1319" t="s">
        <v>111</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4252">
        <f>OFFSET(AR41,0,-1)+1</f>
        <v>5</v>
      </c>
      <c r="AS41" s="4253"/>
      <c r="AT41" s="4253"/>
      <c r="AU41" s="4253"/>
      <c r="AV41" s="4253"/>
      <c r="AW41" s="4253"/>
      <c r="AX41" s="4253"/>
      <c r="AY41" s="4252">
        <f>OFFSET(AY41,0,-1)+1</f>
        <v>1</v>
      </c>
      <c r="AZ41" s="4252">
        <f>OFFSET(AZ41,0,-1)+1</f>
        <v>2</v>
      </c>
      <c r="BA41" s="4252"/>
      <c r="BB41" s="4252">
        <f>OFFSET(BB41,0,-2)+1</f>
        <v>3</v>
      </c>
      <c r="BC41" s="4252">
        <f>OFFSET(BC41,0,-1)+1</f>
        <v>4</v>
      </c>
      <c r="BD41" s="4253"/>
      <c r="BE41" s="4253"/>
      <c r="BF41" s="4253"/>
      <c r="BG41" s="4253"/>
      <c r="BH41" s="4253"/>
      <c r="BI41" s="4253"/>
      <c r="BJ41" s="4252">
        <f>OFFSET(BJ41,0,-1)+1</f>
        <v>1</v>
      </c>
      <c r="BK41" s="4252">
        <f>OFFSET(BK41,0,-1)+1</f>
        <v>2</v>
      </c>
      <c r="BL41" s="4252"/>
      <c r="BM41" s="4252">
        <f>OFFSET(BM41,0,-2)+1</f>
        <v>3</v>
      </c>
      <c r="BN41" s="4252">
        <f>OFFSET(BN41,0,-1)+1</f>
        <v>4</v>
      </c>
      <c r="BO41" s="4253"/>
      <c r="BP41" s="4253"/>
      <c r="BQ41" s="4253"/>
      <c r="BR41" s="4253"/>
      <c r="BS41" s="4253"/>
      <c r="BT41" s="4253"/>
      <c r="BU41" s="4252">
        <f>OFFSET(BU41,0,-1)+1</f>
        <v>1</v>
      </c>
      <c r="BV41" s="4252">
        <f>OFFSET(BV41,0,-1)+1</f>
        <v>2</v>
      </c>
      <c r="BW41" s="4252"/>
      <c r="BX41" s="4252">
        <f>OFFSET(BX41,0,-2)+1</f>
        <v>3</v>
      </c>
      <c r="BY41" s="4252">
        <f>OFFSET(BY41,0,-1)+1</f>
        <v>4</v>
      </c>
      <c r="BZ41" s="4253"/>
      <c r="CA41" s="4253"/>
      <c r="CB41" s="4253"/>
      <c r="CC41" s="4253"/>
      <c r="CD41" s="4253"/>
      <c r="CE41" s="4253"/>
      <c r="CF41" s="4252">
        <f>OFFSET(CF41,0,-1)+1</f>
        <v>1</v>
      </c>
      <c r="CG41" s="4252">
        <f>OFFSET(CG41,0,-1)+1</f>
        <v>2</v>
      </c>
      <c r="CH41" s="4252"/>
      <c r="CI41" s="4252">
        <f>OFFSET(CI41,0,-2)+1</f>
        <v>3</v>
      </c>
      <c r="CJ41" s="4252">
        <f>OFFSET(CJ41,0,-1)+1</f>
        <v>4</v>
      </c>
      <c r="CK41" s="4253"/>
      <c r="CL41" s="4253"/>
      <c r="CM41" s="4253"/>
      <c r="CN41" s="4253"/>
      <c r="CO41" s="4253"/>
      <c r="CP41" s="4253"/>
      <c r="CQ41" s="4252">
        <f>OFFSET(CQ41,0,-1)+1</f>
        <v>1</v>
      </c>
      <c r="CR41" s="4252">
        <f>OFFSET(CR41,0,-1)+1</f>
        <v>2</v>
      </c>
      <c r="CS41" s="4252"/>
      <c r="CT41" s="4252">
        <f>OFFSET(CT41,0,-2)+1</f>
        <v>3</v>
      </c>
      <c r="CU41" s="4252">
        <f>OFFSET(CU41,0,-1)+1</f>
        <v>4</v>
      </c>
      <c r="CV41" s="4253"/>
      <c r="CW41" s="4253"/>
      <c r="CX41" s="4253"/>
      <c r="CY41" s="4253"/>
      <c r="CZ41" s="4253"/>
      <c r="DA41" s="4253"/>
      <c r="DB41" s="4252">
        <f>OFFSET(DB41,0,-1)+1</f>
        <v>1</v>
      </c>
      <c r="DC41" s="4252">
        <f>OFFSET(DC41,0,-1)+1</f>
        <v>2</v>
      </c>
      <c r="DD41" s="4252"/>
      <c r="DE41" s="4252">
        <f>OFFSET(DE41,0,-2)+1</f>
        <v>3</v>
      </c>
      <c r="DF41" s="4252">
        <f>OFFSET(DF41,0,-1)+1</f>
        <v>4</v>
      </c>
      <c r="DG41" s="4253"/>
      <c r="DH41" s="4253"/>
      <c r="DI41" s="4253"/>
      <c r="DJ41" s="4253"/>
      <c r="DK41" s="4253"/>
      <c r="DL41" s="4253"/>
      <c r="DM41" s="4252">
        <f>OFFSET(DM41,0,-1)+1</f>
        <v>1</v>
      </c>
      <c r="DN41" s="4252">
        <f>OFFSET(DN41,0,-1)+1</f>
        <v>2</v>
      </c>
      <c r="DO41" s="4252"/>
      <c r="DP41" s="6212">
        <f>OFFSET(DP41,0,-2)+1</f>
        <v>3</v>
      </c>
      <c r="DQ41" s="1309">
        <f>OFFSET(DQ41,0,-1)</f>
        <v>3</v>
      </c>
      <c r="DR41" s="1546">
        <f>OFFSET(DR41,0,-1)+1</f>
        <v>4</v>
      </c>
      <c r="DS41" s="575"/>
      <c r="DT41" s="575"/>
      <c r="DU41" s="575"/>
      <c r="DV41" s="575"/>
      <c r="DW41" s="575"/>
      <c r="DX41" s="560">
        <v>0</v>
      </c>
    </row>
    <row customHeight="1" ht="24">
      <c r="A42" s="1427" t="s">
        <v>252</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1</v>
      </c>
      <c r="T42" s="362" t="s">
        <v>124</v>
      </c>
      <c r="U42" s="364"/>
      <c r="V42" s="2306"/>
      <c r="W42" s="2307"/>
      <c r="X42" s="2307"/>
      <c r="Y42" s="2307"/>
      <c r="Z42" s="2307"/>
      <c r="AA42" s="2307"/>
      <c r="AB42" s="2307"/>
      <c r="AC42" s="2307"/>
      <c r="AD42" s="2307"/>
      <c r="AE42" s="2307"/>
      <c r="AF42" s="2308"/>
      <c r="AG42" s="2306" t="str">
        <f>INDEX(PT_DIFFERENTIATION_NTAR,MATCH(A42,PT_DIFFERENTIATION_NTAR_ID,0))</f>
        <v>тарифы на горячую воду (горячее водоснабжение)</v>
      </c>
      <c r="AH42" s="2307"/>
      <c r="AI42" s="2307"/>
      <c r="AJ42" s="2307"/>
      <c r="AK42" s="2307"/>
      <c r="AL42" s="2307"/>
      <c r="AM42" s="2307"/>
      <c r="AN42" s="2307"/>
      <c r="AO42" s="2307"/>
      <c r="AP42" s="2307"/>
      <c r="AQ42" s="2307"/>
      <c r="AR42" s="3973"/>
      <c r="AS42" s="3974"/>
      <c r="AT42" s="3974"/>
      <c r="AU42" s="3974"/>
      <c r="AV42" s="3974"/>
      <c r="AW42" s="3974"/>
      <c r="AX42" s="3974"/>
      <c r="AY42" s="3974"/>
      <c r="AZ42" s="3974"/>
      <c r="BA42" s="3974"/>
      <c r="BB42" s="3975"/>
      <c r="BC42" s="3973"/>
      <c r="BD42" s="3974"/>
      <c r="BE42" s="3974"/>
      <c r="BF42" s="3974"/>
      <c r="BG42" s="3974"/>
      <c r="BH42" s="3974"/>
      <c r="BI42" s="3974"/>
      <c r="BJ42" s="3974"/>
      <c r="BK42" s="3974"/>
      <c r="BL42" s="3974"/>
      <c r="BM42" s="3975"/>
      <c r="BN42" s="3973"/>
      <c r="BO42" s="3974"/>
      <c r="BP42" s="3974"/>
      <c r="BQ42" s="3974"/>
      <c r="BR42" s="3974"/>
      <c r="BS42" s="3974"/>
      <c r="BT42" s="3974"/>
      <c r="BU42" s="3974"/>
      <c r="BV42" s="3974"/>
      <c r="BW42" s="3974"/>
      <c r="BX42" s="3975"/>
      <c r="BY42" s="3973"/>
      <c r="BZ42" s="3974"/>
      <c r="CA42" s="3974"/>
      <c r="CB42" s="3974"/>
      <c r="CC42" s="3974"/>
      <c r="CD42" s="3974"/>
      <c r="CE42" s="3974"/>
      <c r="CF42" s="3974"/>
      <c r="CG42" s="3974"/>
      <c r="CH42" s="3974"/>
      <c r="CI42" s="3975"/>
      <c r="CJ42" s="3973"/>
      <c r="CK42" s="3974"/>
      <c r="CL42" s="3974"/>
      <c r="CM42" s="3974"/>
      <c r="CN42" s="3974"/>
      <c r="CO42" s="3974"/>
      <c r="CP42" s="3974"/>
      <c r="CQ42" s="3974"/>
      <c r="CR42" s="3974"/>
      <c r="CS42" s="3974"/>
      <c r="CT42" s="3975"/>
      <c r="CU42" s="3973"/>
      <c r="CV42" s="3974"/>
      <c r="CW42" s="3974"/>
      <c r="CX42" s="3974"/>
      <c r="CY42" s="3974"/>
      <c r="CZ42" s="3974"/>
      <c r="DA42" s="3974"/>
      <c r="DB42" s="3974"/>
      <c r="DC42" s="3974"/>
      <c r="DD42" s="3974"/>
      <c r="DE42" s="3975"/>
      <c r="DF42" s="3973"/>
      <c r="DG42" s="3974"/>
      <c r="DH42" s="3974"/>
      <c r="DI42" s="3974"/>
      <c r="DJ42" s="3974"/>
      <c r="DK42" s="3974"/>
      <c r="DL42" s="3974"/>
      <c r="DM42" s="3974"/>
      <c r="DN42" s="3974"/>
      <c r="DO42" s="3974"/>
      <c r="DP42" s="6193"/>
      <c r="DQ42" s="2308"/>
      <c r="DR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T42" s="564"/>
      <c r="DU42" s="564" t="str">
        <f>IF(T42="","",T42)</f>
        <v>Наименование тарифа</v>
      </c>
      <c r="DV42" s="564"/>
      <c r="DW42" s="564"/>
      <c r="DX42" s="1219">
        <v>23</v>
      </c>
    </row>
    <row customHeight="1" ht="24">
      <c r="A43" s="1427" t="s">
        <v>252</v>
      </c>
      <c r="B43" s="1427" t="s">
        <v>253</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1.1</v>
      </c>
      <c r="T43" s="372" t="s">
        <v>401</v>
      </c>
      <c r="U43" s="364"/>
      <c r="V43" s="2306"/>
      <c r="W43" s="2307"/>
      <c r="X43" s="2307"/>
      <c r="Y43" s="2307"/>
      <c r="Z43" s="2307"/>
      <c r="AA43" s="2307"/>
      <c r="AB43" s="2307"/>
      <c r="AC43" s="2307"/>
      <c r="AD43" s="2307"/>
      <c r="AE43" s="2307"/>
      <c r="AF43" s="2308"/>
      <c r="AG43" s="2306" t="str">
        <f>INDEX(PT_DIFFERENTIATION_TER,MATCH(B43,PT_DIFFERENTIATION_TER_ID,0))</f>
        <v>без дифференциации</v>
      </c>
      <c r="AH43" s="2307"/>
      <c r="AI43" s="2307"/>
      <c r="AJ43" s="2307"/>
      <c r="AK43" s="2307"/>
      <c r="AL43" s="2307"/>
      <c r="AM43" s="2307"/>
      <c r="AN43" s="2307"/>
      <c r="AO43" s="2307"/>
      <c r="AP43" s="2307"/>
      <c r="AQ43" s="2307"/>
      <c r="AR43" s="3973"/>
      <c r="AS43" s="3974"/>
      <c r="AT43" s="3974"/>
      <c r="AU43" s="3974"/>
      <c r="AV43" s="3974"/>
      <c r="AW43" s="3974"/>
      <c r="AX43" s="3974"/>
      <c r="AY43" s="3974"/>
      <c r="AZ43" s="3974"/>
      <c r="BA43" s="3974"/>
      <c r="BB43" s="3975"/>
      <c r="BC43" s="3973"/>
      <c r="BD43" s="3974"/>
      <c r="BE43" s="3974"/>
      <c r="BF43" s="3974"/>
      <c r="BG43" s="3974"/>
      <c r="BH43" s="3974"/>
      <c r="BI43" s="3974"/>
      <c r="BJ43" s="3974"/>
      <c r="BK43" s="3974"/>
      <c r="BL43" s="3974"/>
      <c r="BM43" s="3975"/>
      <c r="BN43" s="3973"/>
      <c r="BO43" s="3974"/>
      <c r="BP43" s="3974"/>
      <c r="BQ43" s="3974"/>
      <c r="BR43" s="3974"/>
      <c r="BS43" s="3974"/>
      <c r="BT43" s="3974"/>
      <c r="BU43" s="3974"/>
      <c r="BV43" s="3974"/>
      <c r="BW43" s="3974"/>
      <c r="BX43" s="3975"/>
      <c r="BY43" s="3973"/>
      <c r="BZ43" s="3974"/>
      <c r="CA43" s="3974"/>
      <c r="CB43" s="3974"/>
      <c r="CC43" s="3974"/>
      <c r="CD43" s="3974"/>
      <c r="CE43" s="3974"/>
      <c r="CF43" s="3974"/>
      <c r="CG43" s="3974"/>
      <c r="CH43" s="3974"/>
      <c r="CI43" s="3975"/>
      <c r="CJ43" s="3973"/>
      <c r="CK43" s="3974"/>
      <c r="CL43" s="3974"/>
      <c r="CM43" s="3974"/>
      <c r="CN43" s="3974"/>
      <c r="CO43" s="3974"/>
      <c r="CP43" s="3974"/>
      <c r="CQ43" s="3974"/>
      <c r="CR43" s="3974"/>
      <c r="CS43" s="3974"/>
      <c r="CT43" s="3975"/>
      <c r="CU43" s="3973"/>
      <c r="CV43" s="3974"/>
      <c r="CW43" s="3974"/>
      <c r="CX43" s="3974"/>
      <c r="CY43" s="3974"/>
      <c r="CZ43" s="3974"/>
      <c r="DA43" s="3974"/>
      <c r="DB43" s="3974"/>
      <c r="DC43" s="3974"/>
      <c r="DD43" s="3974"/>
      <c r="DE43" s="3975"/>
      <c r="DF43" s="3973"/>
      <c r="DG43" s="3974"/>
      <c r="DH43" s="3974"/>
      <c r="DI43" s="3974"/>
      <c r="DJ43" s="3974"/>
      <c r="DK43" s="3974"/>
      <c r="DL43" s="3974"/>
      <c r="DM43" s="3974"/>
      <c r="DN43" s="3974"/>
      <c r="DO43" s="3974"/>
      <c r="DP43" s="6193"/>
      <c r="DQ43" s="2308"/>
      <c r="DR43" s="1322" t="s">
        <v>402</v>
      </c>
      <c r="DT43" s="564"/>
      <c r="DU43" s="564" t="str">
        <f>IF(T43="","",T43)</f>
        <v>Территория действия тарифа</v>
      </c>
      <c r="DV43" s="564"/>
      <c r="DW43" s="564"/>
      <c r="DX43" s="1219">
        <v>23</v>
      </c>
    </row>
    <row customHeight="1" ht="24">
      <c r="A44" s="1427" t="s">
        <v>252</v>
      </c>
      <c r="B44" s="1427" t="s">
        <v>253</v>
      </c>
      <c r="C44" s="1427" t="s">
        <v>254</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1.1.1</v>
      </c>
      <c r="T44" s="373" t="s">
        <v>531</v>
      </c>
      <c r="U44" s="364"/>
      <c r="V44" s="2306"/>
      <c r="W44" s="2307"/>
      <c r="X44" s="2307"/>
      <c r="Y44" s="2307"/>
      <c r="Z44" s="2307"/>
      <c r="AA44" s="2307"/>
      <c r="AB44" s="2307"/>
      <c r="AC44" s="2307"/>
      <c r="AD44" s="2307"/>
      <c r="AE44" s="2307"/>
      <c r="AF44" s="2308"/>
      <c r="AG44" s="2306" t="str">
        <f>INDEX(PT_DIFFERENTIATION_CS,MATCH(C44,PT_DIFFERENTIATION_CS_ID,0))</f>
        <v>без дифференциации</v>
      </c>
      <c r="AH44" s="2307"/>
      <c r="AI44" s="2307"/>
      <c r="AJ44" s="2307"/>
      <c r="AK44" s="2307"/>
      <c r="AL44" s="2307"/>
      <c r="AM44" s="2307"/>
      <c r="AN44" s="2307"/>
      <c r="AO44" s="2307"/>
      <c r="AP44" s="2307"/>
      <c r="AQ44" s="2307"/>
      <c r="AR44" s="3973"/>
      <c r="AS44" s="3974"/>
      <c r="AT44" s="3974"/>
      <c r="AU44" s="3974"/>
      <c r="AV44" s="3974"/>
      <c r="AW44" s="3974"/>
      <c r="AX44" s="3974"/>
      <c r="AY44" s="3974"/>
      <c r="AZ44" s="3974"/>
      <c r="BA44" s="3974"/>
      <c r="BB44" s="3975"/>
      <c r="BC44" s="3973"/>
      <c r="BD44" s="3974"/>
      <c r="BE44" s="3974"/>
      <c r="BF44" s="3974"/>
      <c r="BG44" s="3974"/>
      <c r="BH44" s="3974"/>
      <c r="BI44" s="3974"/>
      <c r="BJ44" s="3974"/>
      <c r="BK44" s="3974"/>
      <c r="BL44" s="3974"/>
      <c r="BM44" s="3975"/>
      <c r="BN44" s="3973"/>
      <c r="BO44" s="3974"/>
      <c r="BP44" s="3974"/>
      <c r="BQ44" s="3974"/>
      <c r="BR44" s="3974"/>
      <c r="BS44" s="3974"/>
      <c r="BT44" s="3974"/>
      <c r="BU44" s="3974"/>
      <c r="BV44" s="3974"/>
      <c r="BW44" s="3974"/>
      <c r="BX44" s="3975"/>
      <c r="BY44" s="3973"/>
      <c r="BZ44" s="3974"/>
      <c r="CA44" s="3974"/>
      <c r="CB44" s="3974"/>
      <c r="CC44" s="3974"/>
      <c r="CD44" s="3974"/>
      <c r="CE44" s="3974"/>
      <c r="CF44" s="3974"/>
      <c r="CG44" s="3974"/>
      <c r="CH44" s="3974"/>
      <c r="CI44" s="3975"/>
      <c r="CJ44" s="3973"/>
      <c r="CK44" s="3974"/>
      <c r="CL44" s="3974"/>
      <c r="CM44" s="3974"/>
      <c r="CN44" s="3974"/>
      <c r="CO44" s="3974"/>
      <c r="CP44" s="3974"/>
      <c r="CQ44" s="3974"/>
      <c r="CR44" s="3974"/>
      <c r="CS44" s="3974"/>
      <c r="CT44" s="3975"/>
      <c r="CU44" s="3973"/>
      <c r="CV44" s="3974"/>
      <c r="CW44" s="3974"/>
      <c r="CX44" s="3974"/>
      <c r="CY44" s="3974"/>
      <c r="CZ44" s="3974"/>
      <c r="DA44" s="3974"/>
      <c r="DB44" s="3974"/>
      <c r="DC44" s="3974"/>
      <c r="DD44" s="3974"/>
      <c r="DE44" s="3975"/>
      <c r="DF44" s="3973"/>
      <c r="DG44" s="3974"/>
      <c r="DH44" s="3974"/>
      <c r="DI44" s="3974"/>
      <c r="DJ44" s="3974"/>
      <c r="DK44" s="3974"/>
      <c r="DL44" s="3974"/>
      <c r="DM44" s="3974"/>
      <c r="DN44" s="3974"/>
      <c r="DO44" s="3974"/>
      <c r="DP44" s="6193"/>
      <c r="DQ44" s="2308"/>
      <c r="DR44" s="1322" t="s">
        <v>532</v>
      </c>
      <c r="DT44" s="564"/>
      <c r="DU44" s="564" t="str">
        <f>IF(T44="","",T44)</f>
        <v>Наименование централизованной системы горячего водоснабжения</v>
      </c>
      <c r="DV44" s="564"/>
      <c r="DW44" s="564"/>
      <c r="DX44" s="1219">
        <v>23</v>
      </c>
    </row>
    <row customHeight="1" ht="24">
      <c r="A45" s="1427" t="s">
        <v>252</v>
      </c>
      <c r="B45" s="1427" t="s">
        <v>253</v>
      </c>
      <c r="C45" s="1427" t="s">
        <v>254</v>
      </c>
      <c r="D45" s="1427" t="s">
        <v>544</v>
      </c>
      <c r="E45" s="2323"/>
      <c r="F45" s="2323"/>
      <c r="G45" s="2323"/>
      <c r="H45" s="2323"/>
      <c r="I45" s="2320" t="str">
        <f>S44&amp;".1"</f>
        <v>1.1.1.1</v>
      </c>
      <c r="J45" s="1427"/>
      <c r="K45" s="1427"/>
      <c r="L45" s="1428"/>
      <c r="P45" s="2321">
        <v>1</v>
      </c>
      <c r="Q45" s="1545"/>
      <c r="R45" s="420"/>
      <c r="S45" s="1557" t="str">
        <f>$I45</f>
        <v>1.1.1.1</v>
      </c>
      <c r="T45" s="349" t="s">
        <v>484</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3976"/>
      <c r="AS45" s="3977"/>
      <c r="AT45" s="3977"/>
      <c r="AU45" s="3977"/>
      <c r="AV45" s="3977"/>
      <c r="AW45" s="3977"/>
      <c r="AX45" s="3977"/>
      <c r="AY45" s="3977"/>
      <c r="AZ45" s="3977"/>
      <c r="BA45" s="3977"/>
      <c r="BB45" s="3978"/>
      <c r="BC45" s="3976"/>
      <c r="BD45" s="3977"/>
      <c r="BE45" s="3977"/>
      <c r="BF45" s="3977"/>
      <c r="BG45" s="3977"/>
      <c r="BH45" s="3977"/>
      <c r="BI45" s="3977"/>
      <c r="BJ45" s="3977"/>
      <c r="BK45" s="3977"/>
      <c r="BL45" s="3977"/>
      <c r="BM45" s="3978"/>
      <c r="BN45" s="3976"/>
      <c r="BO45" s="3977"/>
      <c r="BP45" s="3977"/>
      <c r="BQ45" s="3977"/>
      <c r="BR45" s="3977"/>
      <c r="BS45" s="3977"/>
      <c r="BT45" s="3977"/>
      <c r="BU45" s="3977"/>
      <c r="BV45" s="3977"/>
      <c r="BW45" s="3977"/>
      <c r="BX45" s="3978"/>
      <c r="BY45" s="3976"/>
      <c r="BZ45" s="3977"/>
      <c r="CA45" s="3977"/>
      <c r="CB45" s="3977"/>
      <c r="CC45" s="3977"/>
      <c r="CD45" s="3977"/>
      <c r="CE45" s="3977"/>
      <c r="CF45" s="3977"/>
      <c r="CG45" s="3977"/>
      <c r="CH45" s="3977"/>
      <c r="CI45" s="3978"/>
      <c r="CJ45" s="3976"/>
      <c r="CK45" s="3977"/>
      <c r="CL45" s="3977"/>
      <c r="CM45" s="3977"/>
      <c r="CN45" s="3977"/>
      <c r="CO45" s="3977"/>
      <c r="CP45" s="3977"/>
      <c r="CQ45" s="3977"/>
      <c r="CR45" s="3977"/>
      <c r="CS45" s="3977"/>
      <c r="CT45" s="3978"/>
      <c r="CU45" s="3976"/>
      <c r="CV45" s="3977"/>
      <c r="CW45" s="3977"/>
      <c r="CX45" s="3977"/>
      <c r="CY45" s="3977"/>
      <c r="CZ45" s="3977"/>
      <c r="DA45" s="3977"/>
      <c r="DB45" s="3977"/>
      <c r="DC45" s="3977"/>
      <c r="DD45" s="3977"/>
      <c r="DE45" s="3978"/>
      <c r="DF45" s="3976"/>
      <c r="DG45" s="3977"/>
      <c r="DH45" s="3977"/>
      <c r="DI45" s="3977"/>
      <c r="DJ45" s="3977"/>
      <c r="DK45" s="3977"/>
      <c r="DL45" s="3977"/>
      <c r="DM45" s="3977"/>
      <c r="DN45" s="3977"/>
      <c r="DO45" s="3977"/>
      <c r="DP45" s="6194"/>
      <c r="DQ45" s="2419"/>
      <c r="DR45" s="1322" t="s">
        <v>485</v>
      </c>
      <c r="DT45" s="564"/>
      <c r="DU45" s="564" t="str">
        <f>IF(T45="","",T45)</f>
        <v>Наименование признака дифференциации</v>
      </c>
      <c r="DV45" s="564"/>
      <c r="DW45" s="564"/>
      <c r="DX45" s="1219">
        <v>23</v>
      </c>
    </row>
    <row customHeight="1" ht="24">
      <c r="A46" s="1427" t="s">
        <v>252</v>
      </c>
      <c r="B46" s="1427" t="s">
        <v>253</v>
      </c>
      <c r="C46" s="1427" t="s">
        <v>254</v>
      </c>
      <c r="D46" s="1427" t="s">
        <v>544</v>
      </c>
      <c r="E46" s="2323"/>
      <c r="F46" s="2323"/>
      <c r="G46" s="2323"/>
      <c r="H46" s="2323"/>
      <c r="I46" s="2350"/>
      <c r="J46" s="2320" t="str">
        <f>I45&amp;".1"</f>
        <v>1.1.1.1.1</v>
      </c>
      <c r="K46" s="1427"/>
      <c r="L46" s="1428" t="s">
        <v>410</v>
      </c>
      <c r="P46" s="2321"/>
      <c r="Q46" s="2321">
        <v>1</v>
      </c>
      <c r="R46" s="421"/>
      <c r="S46" s="1557" t="str">
        <f>$J46</f>
        <v>1.1.1.1.1</v>
      </c>
      <c r="T46" s="350" t="s">
        <v>411</v>
      </c>
      <c r="U46" s="364"/>
      <c r="V46" s="2309"/>
      <c r="W46" s="2310"/>
      <c r="X46" s="2310"/>
      <c r="Y46" s="2310"/>
      <c r="Z46" s="2310"/>
      <c r="AA46" s="2310"/>
      <c r="AB46" s="2310"/>
      <c r="AC46" s="2310"/>
      <c r="AD46" s="2310"/>
      <c r="AE46" s="2310"/>
      <c r="AF46" s="2311"/>
      <c r="AG46" s="2309" t="s">
        <v>545</v>
      </c>
      <c r="AH46" s="2310"/>
      <c r="AI46" s="2310"/>
      <c r="AJ46" s="2310"/>
      <c r="AK46" s="2310"/>
      <c r="AL46" s="2310"/>
      <c r="AM46" s="2310"/>
      <c r="AN46" s="2310"/>
      <c r="AO46" s="2310"/>
      <c r="AP46" s="2310"/>
      <c r="AQ46" s="2310"/>
      <c r="AR46" s="3979"/>
      <c r="AS46" s="3980"/>
      <c r="AT46" s="3980"/>
      <c r="AU46" s="3980"/>
      <c r="AV46" s="3980"/>
      <c r="AW46" s="3980"/>
      <c r="AX46" s="3980"/>
      <c r="AY46" s="3980"/>
      <c r="AZ46" s="3980"/>
      <c r="BA46" s="3980"/>
      <c r="BB46" s="3981"/>
      <c r="BC46" s="3979"/>
      <c r="BD46" s="3980"/>
      <c r="BE46" s="3980"/>
      <c r="BF46" s="3980"/>
      <c r="BG46" s="3980"/>
      <c r="BH46" s="3980"/>
      <c r="BI46" s="3980"/>
      <c r="BJ46" s="3980"/>
      <c r="BK46" s="3980"/>
      <c r="BL46" s="3980"/>
      <c r="BM46" s="3981"/>
      <c r="BN46" s="3979"/>
      <c r="BO46" s="3980"/>
      <c r="BP46" s="3980"/>
      <c r="BQ46" s="3980"/>
      <c r="BR46" s="3980"/>
      <c r="BS46" s="3980"/>
      <c r="BT46" s="3980"/>
      <c r="BU46" s="3980"/>
      <c r="BV46" s="3980"/>
      <c r="BW46" s="3980"/>
      <c r="BX46" s="3981"/>
      <c r="BY46" s="3979"/>
      <c r="BZ46" s="3980"/>
      <c r="CA46" s="3980"/>
      <c r="CB46" s="3980"/>
      <c r="CC46" s="3980"/>
      <c r="CD46" s="3980"/>
      <c r="CE46" s="3980"/>
      <c r="CF46" s="3980"/>
      <c r="CG46" s="3980"/>
      <c r="CH46" s="3980"/>
      <c r="CI46" s="3981"/>
      <c r="CJ46" s="3979"/>
      <c r="CK46" s="3980"/>
      <c r="CL46" s="3980"/>
      <c r="CM46" s="3980"/>
      <c r="CN46" s="3980"/>
      <c r="CO46" s="3980"/>
      <c r="CP46" s="3980"/>
      <c r="CQ46" s="3980"/>
      <c r="CR46" s="3980"/>
      <c r="CS46" s="3980"/>
      <c r="CT46" s="3981"/>
      <c r="CU46" s="3979"/>
      <c r="CV46" s="3980"/>
      <c r="CW46" s="3980"/>
      <c r="CX46" s="3980"/>
      <c r="CY46" s="3980"/>
      <c r="CZ46" s="3980"/>
      <c r="DA46" s="3980"/>
      <c r="DB46" s="3980"/>
      <c r="DC46" s="3980"/>
      <c r="DD46" s="3980"/>
      <c r="DE46" s="3981"/>
      <c r="DF46" s="3979"/>
      <c r="DG46" s="3980"/>
      <c r="DH46" s="3980"/>
      <c r="DI46" s="3980"/>
      <c r="DJ46" s="3980"/>
      <c r="DK46" s="3980"/>
      <c r="DL46" s="3980"/>
      <c r="DM46" s="3980"/>
      <c r="DN46" s="3980"/>
      <c r="DO46" s="3980"/>
      <c r="DP46" s="6195"/>
      <c r="DQ46" s="2311"/>
      <c r="DR46" s="1371" t="s">
        <v>486</v>
      </c>
      <c r="DT46" s="564"/>
      <c r="DU46" s="564" t="str">
        <f>IF(T46="","",T46)</f>
        <v>Группа потребителей</v>
      </c>
      <c r="DV46" s="564"/>
      <c r="DW46" s="564"/>
      <c r="DX46" s="1219">
        <v>23</v>
      </c>
    </row>
    <row customHeight="1" ht="24">
      <c r="A47" s="1427" t="s">
        <v>252</v>
      </c>
      <c r="B47" s="1427" t="s">
        <v>253</v>
      </c>
      <c r="C47" s="1427" t="s">
        <v>254</v>
      </c>
      <c r="D47" s="1427" t="s">
        <v>544</v>
      </c>
      <c r="E47" s="2323"/>
      <c r="F47" s="2323"/>
      <c r="G47" s="2323"/>
      <c r="H47" s="2323"/>
      <c r="I47" s="2350"/>
      <c r="J47" s="2350"/>
      <c r="K47" s="2320" t="str">
        <f>J46&amp;".1"</f>
        <v>1.1.1.1.1.1</v>
      </c>
      <c r="L47" s="1428"/>
      <c r="P47" s="2321"/>
      <c r="Q47" s="2321"/>
      <c r="R47" s="421">
        <v>1</v>
      </c>
      <c r="S47" s="1557" t="str">
        <f>$K47</f>
        <v>1.1.1.1.1.1</v>
      </c>
      <c r="T47" s="1501"/>
      <c r="U47" s="364"/>
      <c r="V47" s="5965"/>
      <c r="W47" s="5965"/>
      <c r="X47" s="5965"/>
      <c r="Y47" s="5965"/>
      <c r="Z47" s="5965"/>
      <c r="AA47" s="5965"/>
      <c r="AB47" s="5965"/>
      <c r="AC47" s="3604"/>
      <c r="AD47" s="3605" t="s">
        <v>62</v>
      </c>
      <c r="AE47" s="3604"/>
      <c r="AF47" s="3605" t="s">
        <v>62</v>
      </c>
      <c r="AG47" s="815"/>
      <c r="AH47" s="815">
        <v>261.31</v>
      </c>
      <c r="AI47" s="815"/>
      <c r="AJ47" s="815"/>
      <c r="AK47" s="815"/>
      <c r="AL47" s="815"/>
      <c r="AM47" s="815"/>
      <c r="AN47" s="6134">
        <v>46023.48431712963</v>
      </c>
      <c r="AO47" s="2171" t="s">
        <v>62</v>
      </c>
      <c r="AP47" s="4254">
        <v>46295.48443287037</v>
      </c>
      <c r="AQ47" s="2171" t="s">
        <v>62</v>
      </c>
      <c r="AR47" s="3982">
        <v>307.02</v>
      </c>
      <c r="AS47" s="3982"/>
      <c r="AT47" s="3982"/>
      <c r="AU47" s="3982"/>
      <c r="AV47" s="3982"/>
      <c r="AW47" s="3982"/>
      <c r="AX47" s="3982"/>
      <c r="AY47" s="6134">
        <v>46296.48473379629</v>
      </c>
      <c r="AZ47" s="3984" t="s">
        <v>62</v>
      </c>
      <c r="BA47" s="4254">
        <v>46387.48488425926</v>
      </c>
      <c r="BB47" s="3984" t="s">
        <v>62</v>
      </c>
      <c r="BC47" s="3982">
        <v>271.19</v>
      </c>
      <c r="BD47" s="3982"/>
      <c r="BE47" s="3982"/>
      <c r="BF47" s="3982"/>
      <c r="BG47" s="3982"/>
      <c r="BH47" s="3982"/>
      <c r="BI47" s="3982"/>
      <c r="BJ47" s="6134">
        <v>46388.485127314816</v>
      </c>
      <c r="BK47" s="3984" t="s">
        <v>62</v>
      </c>
      <c r="BL47" s="4254">
        <v>46568.48539351852</v>
      </c>
      <c r="BM47" s="3984" t="s">
        <v>62</v>
      </c>
      <c r="BN47" s="3982">
        <v>278.6</v>
      </c>
      <c r="BO47" s="3982"/>
      <c r="BP47" s="3982"/>
      <c r="BQ47" s="3982"/>
      <c r="BR47" s="3982"/>
      <c r="BS47" s="3982"/>
      <c r="BT47" s="3982"/>
      <c r="BU47" s="6134">
        <v>46569.48571759259</v>
      </c>
      <c r="BV47" s="3984" t="s">
        <v>62</v>
      </c>
      <c r="BW47" s="4254">
        <v>46752.485868055555</v>
      </c>
      <c r="BX47" s="3984" t="s">
        <v>62</v>
      </c>
      <c r="BY47" s="3982">
        <v>278.6</v>
      </c>
      <c r="BZ47" s="3982"/>
      <c r="CA47" s="3982"/>
      <c r="CB47" s="3982"/>
      <c r="CC47" s="3982"/>
      <c r="CD47" s="3982"/>
      <c r="CE47" s="3982"/>
      <c r="CF47" s="6134">
        <v>46753.48607638889</v>
      </c>
      <c r="CG47" s="3984" t="s">
        <v>62</v>
      </c>
      <c r="CH47" s="4254">
        <v>46934.48642361111</v>
      </c>
      <c r="CI47" s="3984" t="s">
        <v>62</v>
      </c>
      <c r="CJ47" s="3982">
        <v>278.6</v>
      </c>
      <c r="CK47" s="3982"/>
      <c r="CL47" s="3982"/>
      <c r="CM47" s="3982"/>
      <c r="CN47" s="3982"/>
      <c r="CO47" s="3982"/>
      <c r="CP47" s="3982"/>
      <c r="CQ47" s="6134">
        <v>46935.486863425926</v>
      </c>
      <c r="CR47" s="3984" t="s">
        <v>62</v>
      </c>
      <c r="CS47" s="4254">
        <v>47118.48710648148</v>
      </c>
      <c r="CT47" s="3984" t="s">
        <v>19</v>
      </c>
      <c r="CU47" s="5965"/>
      <c r="CV47" s="5965"/>
      <c r="CW47" s="5965"/>
      <c r="CX47" s="5965"/>
      <c r="CY47" s="5965"/>
      <c r="CZ47" s="5965"/>
      <c r="DA47" s="5965"/>
      <c r="DB47" s="3604"/>
      <c r="DC47" s="3605" t="s">
        <v>62</v>
      </c>
      <c r="DD47" s="3604"/>
      <c r="DE47" s="3605" t="s">
        <v>62</v>
      </c>
      <c r="DF47" s="5965"/>
      <c r="DG47" s="5965"/>
      <c r="DH47" s="5965"/>
      <c r="DI47" s="5965"/>
      <c r="DJ47" s="5965"/>
      <c r="DK47" s="5965"/>
      <c r="DL47" s="5965"/>
      <c r="DM47" s="3604"/>
      <c r="DN47" s="3605" t="s">
        <v>62</v>
      </c>
      <c r="DO47" s="3604"/>
      <c r="DP47" s="6223" t="s">
        <v>62</v>
      </c>
      <c r="DQ47" s="1502"/>
      <c r="DR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47" s="575">
        <f>STRCHECKDATE(V48:DQ48)</f>
      </c>
      <c r="DT47" s="564"/>
      <c r="DU47" s="564" t="str">
        <f>IF(T47="","",T47)</f>
        <v/>
      </c>
      <c r="DV47" s="564"/>
      <c r="DW47" s="564"/>
      <c r="DX47" s="1219">
        <v>23</v>
      </c>
    </row>
    <row customHeight="1" ht="0">
      <c r="A48" s="1427" t="s">
        <v>252</v>
      </c>
      <c r="B48" s="1427" t="s">
        <v>253</v>
      </c>
      <c r="C48" s="1427" t="s">
        <v>254</v>
      </c>
      <c r="D48" s="1427" t="s">
        <v>544</v>
      </c>
      <c r="E48" s="2323"/>
      <c r="F48" s="2323"/>
      <c r="G48" s="2323"/>
      <c r="H48" s="2323"/>
      <c r="I48" s="2350"/>
      <c r="J48" s="2350"/>
      <c r="K48" s="2320"/>
      <c r="L48" s="1428"/>
      <c r="P48" s="2321"/>
      <c r="Q48" s="2321"/>
      <c r="R48" s="421"/>
      <c r="S48" s="1554"/>
      <c r="T48" s="364"/>
      <c r="U48" s="364"/>
      <c r="V48" s="5965"/>
      <c r="W48" s="5965"/>
      <c r="X48" s="5965"/>
      <c r="Y48" s="5965"/>
      <c r="Z48" s="5965"/>
      <c r="AA48" s="5965"/>
      <c r="AB48" s="5965"/>
      <c r="AC48" s="3605"/>
      <c r="AD48" s="3605"/>
      <c r="AE48" s="3605"/>
      <c r="AF48" s="3605"/>
      <c r="AG48" s="389"/>
      <c r="AH48" s="389"/>
      <c r="AI48" s="389"/>
      <c r="AJ48" s="389"/>
      <c r="AK48" s="389"/>
      <c r="AL48" s="389"/>
      <c r="AM48" s="389"/>
      <c r="AN48" s="2330"/>
      <c r="AO48" s="2171"/>
      <c r="AP48" s="2352"/>
      <c r="AQ48" s="2171"/>
      <c r="AR48" s="3985"/>
      <c r="AS48" s="3985"/>
      <c r="AT48" s="3985"/>
      <c r="AU48" s="3985"/>
      <c r="AV48" s="3985"/>
      <c r="AW48" s="3985"/>
      <c r="AX48" s="3985"/>
      <c r="AY48" s="3986"/>
      <c r="AZ48" s="3984"/>
      <c r="BA48" s="4255"/>
      <c r="BB48" s="3984"/>
      <c r="BC48" s="3985"/>
      <c r="BD48" s="3985"/>
      <c r="BE48" s="3985"/>
      <c r="BF48" s="3985"/>
      <c r="BG48" s="3985"/>
      <c r="BH48" s="3985"/>
      <c r="BI48" s="3985"/>
      <c r="BJ48" s="3986"/>
      <c r="BK48" s="3984"/>
      <c r="BL48" s="4255"/>
      <c r="BM48" s="3984"/>
      <c r="BN48" s="3985"/>
      <c r="BO48" s="3985"/>
      <c r="BP48" s="3985"/>
      <c r="BQ48" s="3985"/>
      <c r="BR48" s="3985"/>
      <c r="BS48" s="3985"/>
      <c r="BT48" s="3985"/>
      <c r="BU48" s="3986"/>
      <c r="BV48" s="3984"/>
      <c r="BW48" s="4255"/>
      <c r="BX48" s="3984"/>
      <c r="BY48" s="3985"/>
      <c r="BZ48" s="3985"/>
      <c r="CA48" s="3985"/>
      <c r="CB48" s="3985"/>
      <c r="CC48" s="3985"/>
      <c r="CD48" s="3985"/>
      <c r="CE48" s="3985"/>
      <c r="CF48" s="3986"/>
      <c r="CG48" s="3984"/>
      <c r="CH48" s="4255"/>
      <c r="CI48" s="3984"/>
      <c r="CJ48" s="3985"/>
      <c r="CK48" s="3985"/>
      <c r="CL48" s="3985"/>
      <c r="CM48" s="3985"/>
      <c r="CN48" s="3985"/>
      <c r="CO48" s="3985"/>
      <c r="CP48" s="3985"/>
      <c r="CQ48" s="3986"/>
      <c r="CR48" s="3984"/>
      <c r="CS48" s="4255"/>
      <c r="CT48" s="3984"/>
      <c r="CU48" s="5965"/>
      <c r="CV48" s="5965"/>
      <c r="CW48" s="5965"/>
      <c r="CX48" s="5965"/>
      <c r="CY48" s="5965"/>
      <c r="CZ48" s="5965"/>
      <c r="DA48" s="5965"/>
      <c r="DB48" s="3605"/>
      <c r="DC48" s="3605"/>
      <c r="DD48" s="3605"/>
      <c r="DE48" s="3605"/>
      <c r="DF48" s="5965"/>
      <c r="DG48" s="5965"/>
      <c r="DH48" s="5965"/>
      <c r="DI48" s="5965"/>
      <c r="DJ48" s="5965"/>
      <c r="DK48" s="5965"/>
      <c r="DL48" s="5965"/>
      <c r="DM48" s="3605"/>
      <c r="DN48" s="3605"/>
      <c r="DO48" s="3605"/>
      <c r="DP48" s="6223"/>
      <c r="DQ48" s="1503"/>
      <c r="DR48" s="2413"/>
      <c r="DT48" s="564"/>
      <c r="DU48" s="564" t="str">
        <f>IF(T48="","",T48)</f>
        <v/>
      </c>
      <c r="DV48" s="564"/>
      <c r="DW48" s="564"/>
      <c r="DX48" s="1219">
        <v>0</v>
      </c>
    </row>
    <row customHeight="1" ht="21">
      <c r="A49" s="1427" t="s">
        <v>252</v>
      </c>
      <c r="B49" s="1427" t="s">
        <v>253</v>
      </c>
      <c r="C49" s="1427" t="s">
        <v>254</v>
      </c>
      <c r="D49" s="1427" t="s">
        <v>544</v>
      </c>
      <c r="E49" s="2323"/>
      <c r="F49" s="2323"/>
      <c r="G49" s="2323"/>
      <c r="H49" s="2323"/>
      <c r="I49" s="2350"/>
      <c r="J49" s="2320"/>
      <c r="K49" s="1427"/>
      <c r="L49" s="1428"/>
      <c r="P49" s="2321"/>
      <c r="Q49" s="2321"/>
      <c r="R49" s="420"/>
      <c r="S49" s="1342"/>
      <c r="T49" s="351" t="s">
        <v>487</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256"/>
      <c r="AS49" s="4257"/>
      <c r="AT49" s="4258"/>
      <c r="AU49" s="4259"/>
      <c r="AV49" s="4260"/>
      <c r="AW49" s="4261"/>
      <c r="AX49" s="4262"/>
      <c r="AY49" s="4263"/>
      <c r="AZ49" s="4264"/>
      <c r="BA49" s="4265"/>
      <c r="BB49" s="4266"/>
      <c r="BC49" s="4267"/>
      <c r="BD49" s="4268"/>
      <c r="BE49" s="4269"/>
      <c r="BF49" s="4270"/>
      <c r="BG49" s="4271"/>
      <c r="BH49" s="4272"/>
      <c r="BI49" s="4273"/>
      <c r="BJ49" s="4274"/>
      <c r="BK49" s="4275"/>
      <c r="BL49" s="4276"/>
      <c r="BM49" s="4277"/>
      <c r="BN49" s="4278"/>
      <c r="BO49" s="4279"/>
      <c r="BP49" s="4280"/>
      <c r="BQ49" s="4281"/>
      <c r="BR49" s="4282"/>
      <c r="BS49" s="4283"/>
      <c r="BT49" s="4284"/>
      <c r="BU49" s="4285"/>
      <c r="BV49" s="4286"/>
      <c r="BW49" s="4287"/>
      <c r="BX49" s="4288"/>
      <c r="BY49" s="4289"/>
      <c r="BZ49" s="4290"/>
      <c r="CA49" s="4291"/>
      <c r="CB49" s="4292"/>
      <c r="CC49" s="4293"/>
      <c r="CD49" s="4294"/>
      <c r="CE49" s="4295"/>
      <c r="CF49" s="4296"/>
      <c r="CG49" s="4297"/>
      <c r="CH49" s="4298"/>
      <c r="CI49" s="4299"/>
      <c r="CJ49" s="4300"/>
      <c r="CK49" s="4301"/>
      <c r="CL49" s="4302"/>
      <c r="CM49" s="4303"/>
      <c r="CN49" s="4304"/>
      <c r="CO49" s="4305"/>
      <c r="CP49" s="4306"/>
      <c r="CQ49" s="4307"/>
      <c r="CR49" s="4308"/>
      <c r="CS49" s="4309"/>
      <c r="CT49" s="4310"/>
      <c r="CU49" s="4311"/>
      <c r="CV49" s="4312"/>
      <c r="CW49" s="4313"/>
      <c r="CX49" s="4314"/>
      <c r="CY49" s="4315"/>
      <c r="CZ49" s="4316"/>
      <c r="DA49" s="4317"/>
      <c r="DB49" s="4318"/>
      <c r="DC49" s="4319"/>
      <c r="DD49" s="4320"/>
      <c r="DE49" s="4321"/>
      <c r="DF49" s="4322"/>
      <c r="DG49" s="4323"/>
      <c r="DH49" s="4324"/>
      <c r="DI49" s="4325"/>
      <c r="DJ49" s="4326"/>
      <c r="DK49" s="4327"/>
      <c r="DL49" s="4328"/>
      <c r="DM49" s="4329"/>
      <c r="DN49" s="4330"/>
      <c r="DO49" s="4331"/>
      <c r="DP49" s="6213"/>
      <c r="DQ49" s="431"/>
      <c r="DR49" s="1322" t="s">
        <v>488</v>
      </c>
      <c r="DT49" s="564"/>
      <c r="DU49" s="564" t="str">
        <f>IF(T49="","",T49)</f>
        <v>Добавить значение признака дифференциации</v>
      </c>
      <c r="DV49" s="564"/>
      <c r="DW49" s="564"/>
      <c r="DX49" s="1219">
        <v>20</v>
      </c>
    </row>
    <row s="6188" customFormat="1" customHeight="1" ht="23.25">
      <c r="A50" s="4334"/>
      <c r="B50" s="4334"/>
      <c r="C50" s="4334"/>
      <c r="D50" s="4334"/>
      <c r="E50" s="4335"/>
      <c r="F50" s="4335"/>
      <c r="G50" s="4335"/>
      <c r="H50" s="4335"/>
      <c r="I50" s="4336"/>
      <c r="J50" s="4337" t="str">
        <f>I45&amp;".2"</f>
        <v>1.1.1.1.2</v>
      </c>
      <c r="K50" s="4334"/>
      <c r="L50" s="4338" t="s">
        <v>410</v>
      </c>
      <c r="M50" s="4339"/>
      <c r="N50" s="4339"/>
      <c r="O50" s="4339"/>
      <c r="P50" s="4340"/>
      <c r="Q50" s="4341" t="s">
        <v>533</v>
      </c>
      <c r="R50" s="4342"/>
      <c r="S50" s="4343" t="str">
        <f>$J50</f>
        <v>1.1.1.1.2</v>
      </c>
      <c r="T50" s="4344" t="s">
        <v>411</v>
      </c>
      <c r="U50" s="4345"/>
      <c r="V50" s="3979"/>
      <c r="W50" s="3980"/>
      <c r="X50" s="3980"/>
      <c r="Y50" s="3980"/>
      <c r="Z50" s="3980"/>
      <c r="AA50" s="3980"/>
      <c r="AB50" s="3980"/>
      <c r="AC50" s="3980"/>
      <c r="AD50" s="3980"/>
      <c r="AE50" s="3980"/>
      <c r="AF50" s="3981"/>
      <c r="AG50" s="3979" t="s">
        <v>546</v>
      </c>
      <c r="AH50" s="3980"/>
      <c r="AI50" s="3980"/>
      <c r="AJ50" s="3980"/>
      <c r="AK50" s="3980"/>
      <c r="AL50" s="3980"/>
      <c r="AM50" s="3980"/>
      <c r="AN50" s="3980"/>
      <c r="AO50" s="3980"/>
      <c r="AP50" s="3980"/>
      <c r="AQ50" s="3980"/>
      <c r="AR50" s="3979"/>
      <c r="AS50" s="3980"/>
      <c r="AT50" s="3980"/>
      <c r="AU50" s="3980"/>
      <c r="AV50" s="3980"/>
      <c r="AW50" s="3980"/>
      <c r="AX50" s="3980"/>
      <c r="AY50" s="3980"/>
      <c r="AZ50" s="3980"/>
      <c r="BA50" s="3980"/>
      <c r="BB50" s="3981"/>
      <c r="BC50" s="3979"/>
      <c r="BD50" s="3980"/>
      <c r="BE50" s="3980"/>
      <c r="BF50" s="3980"/>
      <c r="BG50" s="3980"/>
      <c r="BH50" s="3980"/>
      <c r="BI50" s="3980"/>
      <c r="BJ50" s="3980"/>
      <c r="BK50" s="3980"/>
      <c r="BL50" s="3980"/>
      <c r="BM50" s="3981"/>
      <c r="BN50" s="3979"/>
      <c r="BO50" s="3980"/>
      <c r="BP50" s="3980"/>
      <c r="BQ50" s="3980"/>
      <c r="BR50" s="3980"/>
      <c r="BS50" s="3980"/>
      <c r="BT50" s="3980"/>
      <c r="BU50" s="3980"/>
      <c r="BV50" s="3980"/>
      <c r="BW50" s="3980"/>
      <c r="BX50" s="3981"/>
      <c r="BY50" s="3979"/>
      <c r="BZ50" s="3980"/>
      <c r="CA50" s="3980"/>
      <c r="CB50" s="3980"/>
      <c r="CC50" s="3980"/>
      <c r="CD50" s="3980"/>
      <c r="CE50" s="3980"/>
      <c r="CF50" s="3980"/>
      <c r="CG50" s="3980"/>
      <c r="CH50" s="3980"/>
      <c r="CI50" s="3981"/>
      <c r="CJ50" s="3979"/>
      <c r="CK50" s="3980"/>
      <c r="CL50" s="3980"/>
      <c r="CM50" s="3980"/>
      <c r="CN50" s="3980"/>
      <c r="CO50" s="3980"/>
      <c r="CP50" s="3980"/>
      <c r="CQ50" s="3980"/>
      <c r="CR50" s="3980"/>
      <c r="CS50" s="3980"/>
      <c r="CT50" s="3981"/>
      <c r="CU50" s="3979"/>
      <c r="CV50" s="3980"/>
      <c r="CW50" s="3980"/>
      <c r="CX50" s="3980"/>
      <c r="CY50" s="3980"/>
      <c r="CZ50" s="3980"/>
      <c r="DA50" s="3980"/>
      <c r="DB50" s="3980"/>
      <c r="DC50" s="3980"/>
      <c r="DD50" s="3980"/>
      <c r="DE50" s="3981"/>
      <c r="DF50" s="3979"/>
      <c r="DG50" s="3980"/>
      <c r="DH50" s="3980"/>
      <c r="DI50" s="3980"/>
      <c r="DJ50" s="3980"/>
      <c r="DK50" s="3980"/>
      <c r="DL50" s="3980"/>
      <c r="DM50" s="3980"/>
      <c r="DN50" s="3980"/>
      <c r="DO50" s="3980"/>
      <c r="DP50" s="6195"/>
      <c r="DQ50" s="3981"/>
      <c r="DR50" s="4346" t="s">
        <v>486</v>
      </c>
      <c r="DS50" s="4227"/>
      <c r="DT50" s="4347"/>
      <c r="DU50" s="4347" t="str">
        <f>IF(T50="","",T50)</f>
        <v>Группа потребителей</v>
      </c>
      <c r="DV50" s="4347"/>
      <c r="DW50" s="4347"/>
      <c r="DX50" s="3972">
        <v>0</v>
      </c>
    </row>
    <row s="6188" customFormat="1" customHeight="1" ht="23.25">
      <c r="A51" s="4334"/>
      <c r="B51" s="4334"/>
      <c r="C51" s="4334"/>
      <c r="D51" s="4334"/>
      <c r="E51" s="4335"/>
      <c r="F51" s="4335"/>
      <c r="G51" s="4335"/>
      <c r="H51" s="4335"/>
      <c r="I51" s="4336"/>
      <c r="J51" s="4336" t="str">
        <f>I45&amp;".1"</f>
        <v>1.1.1.1.1</v>
      </c>
      <c r="K51" s="4337" t="str">
        <f>J50&amp;".1"</f>
        <v>1.1.1.1.2.1</v>
      </c>
      <c r="L51" s="4338"/>
      <c r="M51" s="4339"/>
      <c r="N51" s="4339"/>
      <c r="O51" s="4339"/>
      <c r="P51" s="4340"/>
      <c r="Q51" s="4340"/>
      <c r="R51" s="4342">
        <v>1</v>
      </c>
      <c r="S51" s="4343" t="str">
        <f>$K51</f>
        <v>1.1.1.1.2.1</v>
      </c>
      <c r="T51" s="4349"/>
      <c r="U51" s="4345"/>
      <c r="V51" s="5965"/>
      <c r="W51" s="5965"/>
      <c r="X51" s="5965"/>
      <c r="Y51" s="5965"/>
      <c r="Z51" s="5965"/>
      <c r="AA51" s="5965"/>
      <c r="AB51" s="5965"/>
      <c r="AC51" s="3604"/>
      <c r="AD51" s="3605" t="s">
        <v>62</v>
      </c>
      <c r="AE51" s="3604"/>
      <c r="AF51" s="3605" t="s">
        <v>62</v>
      </c>
      <c r="AG51" s="3982"/>
      <c r="AH51" s="3982">
        <v>256.87</v>
      </c>
      <c r="AI51" s="3982"/>
      <c r="AJ51" s="3982"/>
      <c r="AK51" s="3982"/>
      <c r="AL51" s="3982"/>
      <c r="AM51" s="3982"/>
      <c r="AN51" s="6134">
        <v>46023.484398148146</v>
      </c>
      <c r="AO51" s="3984" t="s">
        <v>62</v>
      </c>
      <c r="AP51" s="4254">
        <v>46295.48452546296</v>
      </c>
      <c r="AQ51" s="3984" t="s">
        <v>62</v>
      </c>
      <c r="AR51" s="3982">
        <v>287.69</v>
      </c>
      <c r="AS51" s="3982"/>
      <c r="AT51" s="3982"/>
      <c r="AU51" s="3982"/>
      <c r="AV51" s="3982"/>
      <c r="AW51" s="3982"/>
      <c r="AX51" s="3982"/>
      <c r="AY51" s="6134">
        <v>46296.48480324074</v>
      </c>
      <c r="AZ51" s="3984" t="s">
        <v>62</v>
      </c>
      <c r="BA51" s="6134">
        <v>46387.4849537037</v>
      </c>
      <c r="BB51" s="3984" t="s">
        <v>62</v>
      </c>
      <c r="BC51" s="3982">
        <v>254.22</v>
      </c>
      <c r="BD51" s="3982"/>
      <c r="BE51" s="3982"/>
      <c r="BF51" s="3982"/>
      <c r="BG51" s="3982"/>
      <c r="BH51" s="3982"/>
      <c r="BI51" s="3982"/>
      <c r="BJ51" s="6134">
        <v>46388.48521990741</v>
      </c>
      <c r="BK51" s="3984" t="s">
        <v>62</v>
      </c>
      <c r="BL51" s="6134">
        <v>46568.48546296296</v>
      </c>
      <c r="BM51" s="3984" t="s">
        <v>62</v>
      </c>
      <c r="BN51" s="3982">
        <v>264.22</v>
      </c>
      <c r="BO51" s="3982"/>
      <c r="BP51" s="3982"/>
      <c r="BQ51" s="3982"/>
      <c r="BR51" s="3982"/>
      <c r="BS51" s="3982"/>
      <c r="BT51" s="3982"/>
      <c r="BU51" s="6134">
        <v>46569.48579861111</v>
      </c>
      <c r="BV51" s="3984" t="s">
        <v>62</v>
      </c>
      <c r="BW51" s="6134">
        <v>46752.4859375</v>
      </c>
      <c r="BX51" s="3984" t="s">
        <v>62</v>
      </c>
      <c r="BY51" s="3982">
        <v>264.38</v>
      </c>
      <c r="BZ51" s="3982"/>
      <c r="CA51" s="3982"/>
      <c r="CB51" s="3982"/>
      <c r="CC51" s="3982"/>
      <c r="CD51" s="3982"/>
      <c r="CE51" s="3982"/>
      <c r="CF51" s="6134">
        <v>46753.486226851855</v>
      </c>
      <c r="CG51" s="3984" t="s">
        <v>62</v>
      </c>
      <c r="CH51" s="6134">
        <v>46934.486550925925</v>
      </c>
      <c r="CI51" s="3984" t="s">
        <v>62</v>
      </c>
      <c r="CJ51" s="3982">
        <v>274.96</v>
      </c>
      <c r="CK51" s="3982"/>
      <c r="CL51" s="3982"/>
      <c r="CM51" s="3982"/>
      <c r="CN51" s="3982"/>
      <c r="CO51" s="3982"/>
      <c r="CP51" s="3982"/>
      <c r="CQ51" s="6134">
        <v>46935.486979166664</v>
      </c>
      <c r="CR51" s="3984" t="s">
        <v>62</v>
      </c>
      <c r="CS51" s="6134">
        <v>47118.48721064815</v>
      </c>
      <c r="CT51" s="3984" t="s">
        <v>19</v>
      </c>
      <c r="CU51" s="5965"/>
      <c r="CV51" s="5965"/>
      <c r="CW51" s="5965"/>
      <c r="CX51" s="5965"/>
      <c r="CY51" s="5965"/>
      <c r="CZ51" s="5965"/>
      <c r="DA51" s="5965"/>
      <c r="DB51" s="3604"/>
      <c r="DC51" s="3605" t="s">
        <v>62</v>
      </c>
      <c r="DD51" s="3604"/>
      <c r="DE51" s="3605" t="s">
        <v>62</v>
      </c>
      <c r="DF51" s="5965"/>
      <c r="DG51" s="5965"/>
      <c r="DH51" s="5965"/>
      <c r="DI51" s="5965"/>
      <c r="DJ51" s="5965"/>
      <c r="DK51" s="5965"/>
      <c r="DL51" s="5965"/>
      <c r="DM51" s="3604"/>
      <c r="DN51" s="3605" t="s">
        <v>62</v>
      </c>
      <c r="DO51" s="3604"/>
      <c r="DP51" s="6223" t="s">
        <v>62</v>
      </c>
      <c r="DQ51" s="4350"/>
      <c r="DR51" s="4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51" s="4227">
        <f>STRCHECKDATE(V52:DQ52)</f>
      </c>
      <c r="DT51" s="4347"/>
      <c r="DU51" s="4347" t="str">
        <f>IF(T51="","",T51)</f>
        <v/>
      </c>
      <c r="DV51" s="4347"/>
      <c r="DW51" s="4347"/>
      <c r="DX51" s="3972">
        <v>0</v>
      </c>
    </row>
    <row s="6188" customFormat="1" customHeight="1" ht="14.25">
      <c r="A52" s="4334"/>
      <c r="B52" s="4334"/>
      <c r="C52" s="4334"/>
      <c r="D52" s="4334"/>
      <c r="E52" s="4335"/>
      <c r="F52" s="4335"/>
      <c r="G52" s="4335"/>
      <c r="H52" s="4335"/>
      <c r="I52" s="4336"/>
      <c r="J52" s="4336" t="str">
        <f>I45&amp;".1"</f>
        <v>1.1.1.1.1</v>
      </c>
      <c r="K52" s="4337"/>
      <c r="L52" s="4338"/>
      <c r="M52" s="4339"/>
      <c r="N52" s="4339"/>
      <c r="O52" s="4339"/>
      <c r="P52" s="4340"/>
      <c r="Q52" s="4340"/>
      <c r="R52" s="4342"/>
      <c r="S52" s="4353"/>
      <c r="T52" s="4345"/>
      <c r="U52" s="4345"/>
      <c r="V52" s="5965"/>
      <c r="W52" s="5965"/>
      <c r="X52" s="5965"/>
      <c r="Y52" s="5965"/>
      <c r="Z52" s="5965"/>
      <c r="AA52" s="5965"/>
      <c r="AB52" s="5965"/>
      <c r="AC52" s="3605"/>
      <c r="AD52" s="3605"/>
      <c r="AE52" s="3605"/>
      <c r="AF52" s="3605"/>
      <c r="AG52" s="3985"/>
      <c r="AH52" s="3985"/>
      <c r="AI52" s="3985"/>
      <c r="AJ52" s="3985"/>
      <c r="AK52" s="3985"/>
      <c r="AL52" s="3985"/>
      <c r="AM52" s="3985"/>
      <c r="AN52" s="3986"/>
      <c r="AO52" s="3984"/>
      <c r="AP52" s="4255"/>
      <c r="AQ52" s="3984"/>
      <c r="AR52" s="3985"/>
      <c r="AS52" s="3985"/>
      <c r="AT52" s="3985"/>
      <c r="AU52" s="3985"/>
      <c r="AV52" s="3985"/>
      <c r="AW52" s="3985"/>
      <c r="AX52" s="3985"/>
      <c r="AY52" s="3986"/>
      <c r="AZ52" s="3984"/>
      <c r="BA52" s="3986"/>
      <c r="BB52" s="3984"/>
      <c r="BC52" s="3985"/>
      <c r="BD52" s="3985"/>
      <c r="BE52" s="3985"/>
      <c r="BF52" s="3985"/>
      <c r="BG52" s="3985"/>
      <c r="BH52" s="3985"/>
      <c r="BI52" s="3985"/>
      <c r="BJ52" s="3986"/>
      <c r="BK52" s="3984"/>
      <c r="BL52" s="3986"/>
      <c r="BM52" s="3984"/>
      <c r="BN52" s="3985"/>
      <c r="BO52" s="3985"/>
      <c r="BP52" s="3985"/>
      <c r="BQ52" s="3985"/>
      <c r="BR52" s="3985"/>
      <c r="BS52" s="3985"/>
      <c r="BT52" s="3985"/>
      <c r="BU52" s="3986"/>
      <c r="BV52" s="3984"/>
      <c r="BW52" s="3986"/>
      <c r="BX52" s="3984"/>
      <c r="BY52" s="3985"/>
      <c r="BZ52" s="3985"/>
      <c r="CA52" s="3985"/>
      <c r="CB52" s="3985"/>
      <c r="CC52" s="3985"/>
      <c r="CD52" s="3985"/>
      <c r="CE52" s="3985"/>
      <c r="CF52" s="3986"/>
      <c r="CG52" s="3984"/>
      <c r="CH52" s="3986"/>
      <c r="CI52" s="3984"/>
      <c r="CJ52" s="3985"/>
      <c r="CK52" s="3985"/>
      <c r="CL52" s="3985"/>
      <c r="CM52" s="3985"/>
      <c r="CN52" s="3985"/>
      <c r="CO52" s="3985"/>
      <c r="CP52" s="3985"/>
      <c r="CQ52" s="3986"/>
      <c r="CR52" s="3984"/>
      <c r="CS52" s="3986"/>
      <c r="CT52" s="3984"/>
      <c r="CU52" s="5965"/>
      <c r="CV52" s="5965"/>
      <c r="CW52" s="5965"/>
      <c r="CX52" s="5965"/>
      <c r="CY52" s="5965"/>
      <c r="CZ52" s="5965"/>
      <c r="DA52" s="5965"/>
      <c r="DB52" s="3605"/>
      <c r="DC52" s="3605"/>
      <c r="DD52" s="3605"/>
      <c r="DE52" s="3605"/>
      <c r="DF52" s="5965"/>
      <c r="DG52" s="5965"/>
      <c r="DH52" s="5965"/>
      <c r="DI52" s="5965"/>
      <c r="DJ52" s="5965"/>
      <c r="DK52" s="5965"/>
      <c r="DL52" s="5965"/>
      <c r="DM52" s="3605"/>
      <c r="DN52" s="3605"/>
      <c r="DO52" s="3605"/>
      <c r="DP52" s="6223"/>
      <c r="DQ52" s="4354"/>
      <c r="DR52" s="4351"/>
      <c r="DS52" s="4227"/>
      <c r="DT52" s="4347"/>
      <c r="DU52" s="4347" t="str">
        <f>IF(T52="","",T52)</f>
        <v/>
      </c>
      <c r="DV52" s="4347"/>
      <c r="DW52" s="4347"/>
      <c r="DX52" s="3972">
        <v>0</v>
      </c>
    </row>
    <row s="6188" customFormat="1" customHeight="1" ht="21">
      <c r="A53" s="4334"/>
      <c r="B53" s="4334"/>
      <c r="C53" s="4334"/>
      <c r="D53" s="4334"/>
      <c r="E53" s="4335"/>
      <c r="F53" s="4335"/>
      <c r="G53" s="4335"/>
      <c r="H53" s="4335"/>
      <c r="I53" s="4336"/>
      <c r="J53" s="4337" t="str">
        <f>I45&amp;".1"</f>
        <v>1.1.1.1.1</v>
      </c>
      <c r="K53" s="4334"/>
      <c r="L53" s="4338"/>
      <c r="M53" s="4339"/>
      <c r="N53" s="4339"/>
      <c r="O53" s="4339"/>
      <c r="P53" s="4340"/>
      <c r="Q53" s="4340"/>
      <c r="R53" s="4356"/>
      <c r="S53" s="4357"/>
      <c r="T53" s="4358" t="s">
        <v>487</v>
      </c>
      <c r="U53" s="4359"/>
      <c r="V53" s="4360"/>
      <c r="W53" s="4361"/>
      <c r="X53" s="4362"/>
      <c r="Y53" s="4363"/>
      <c r="Z53" s="4364"/>
      <c r="AA53" s="4365"/>
      <c r="AB53" s="4366"/>
      <c r="AC53" s="4367"/>
      <c r="AD53" s="4368"/>
      <c r="AE53" s="4369"/>
      <c r="AF53" s="4370"/>
      <c r="AG53" s="4371"/>
      <c r="AH53" s="4372"/>
      <c r="AI53" s="4373"/>
      <c r="AJ53" s="4374"/>
      <c r="AK53" s="4375"/>
      <c r="AL53" s="4376"/>
      <c r="AM53" s="4377"/>
      <c r="AN53" s="4378"/>
      <c r="AO53" s="4379"/>
      <c r="AP53" s="4380"/>
      <c r="AQ53" s="4381"/>
      <c r="AR53" s="4382"/>
      <c r="AS53" s="4383"/>
      <c r="AT53" s="4384"/>
      <c r="AU53" s="4385"/>
      <c r="AV53" s="4386"/>
      <c r="AW53" s="4387"/>
      <c r="AX53" s="4388"/>
      <c r="AY53" s="4389"/>
      <c r="AZ53" s="4390"/>
      <c r="BA53" s="4391"/>
      <c r="BB53" s="4392"/>
      <c r="BC53" s="4393"/>
      <c r="BD53" s="4394"/>
      <c r="BE53" s="4395"/>
      <c r="BF53" s="4396"/>
      <c r="BG53" s="4397"/>
      <c r="BH53" s="4398"/>
      <c r="BI53" s="4399"/>
      <c r="BJ53" s="4400"/>
      <c r="BK53" s="4401"/>
      <c r="BL53" s="4402"/>
      <c r="BM53" s="4403"/>
      <c r="BN53" s="4404"/>
      <c r="BO53" s="4405"/>
      <c r="BP53" s="4406"/>
      <c r="BQ53" s="4407"/>
      <c r="BR53" s="4408"/>
      <c r="BS53" s="4409"/>
      <c r="BT53" s="4410"/>
      <c r="BU53" s="4411"/>
      <c r="BV53" s="4412"/>
      <c r="BW53" s="4413"/>
      <c r="BX53" s="4414"/>
      <c r="BY53" s="4415"/>
      <c r="BZ53" s="4416"/>
      <c r="CA53" s="4417"/>
      <c r="CB53" s="4418"/>
      <c r="CC53" s="4419"/>
      <c r="CD53" s="4420"/>
      <c r="CE53" s="4421"/>
      <c r="CF53" s="4422"/>
      <c r="CG53" s="4423"/>
      <c r="CH53" s="4424"/>
      <c r="CI53" s="4425"/>
      <c r="CJ53" s="4426"/>
      <c r="CK53" s="4427"/>
      <c r="CL53" s="4428"/>
      <c r="CM53" s="4429"/>
      <c r="CN53" s="4430"/>
      <c r="CO53" s="4431"/>
      <c r="CP53" s="4432"/>
      <c r="CQ53" s="4433"/>
      <c r="CR53" s="4434"/>
      <c r="CS53" s="4435"/>
      <c r="CT53" s="4436"/>
      <c r="CU53" s="4437"/>
      <c r="CV53" s="4438"/>
      <c r="CW53" s="4439"/>
      <c r="CX53" s="4440"/>
      <c r="CY53" s="4441"/>
      <c r="CZ53" s="4442"/>
      <c r="DA53" s="4443"/>
      <c r="DB53" s="4444"/>
      <c r="DC53" s="4445"/>
      <c r="DD53" s="4446"/>
      <c r="DE53" s="4447"/>
      <c r="DF53" s="4448"/>
      <c r="DG53" s="4449"/>
      <c r="DH53" s="4450"/>
      <c r="DI53" s="4451"/>
      <c r="DJ53" s="4452"/>
      <c r="DK53" s="4453"/>
      <c r="DL53" s="4454"/>
      <c r="DM53" s="4455"/>
      <c r="DN53" s="4456"/>
      <c r="DO53" s="4457"/>
      <c r="DP53" s="6214"/>
      <c r="DQ53" s="4459"/>
      <c r="DR53" s="4460" t="s">
        <v>488</v>
      </c>
      <c r="DS53" s="4227"/>
      <c r="DT53" s="4347"/>
      <c r="DU53" s="4347" t="str">
        <f>IF(T53="","",T53)</f>
        <v>Добавить значение признака дифференциации</v>
      </c>
      <c r="DV53" s="4347"/>
      <c r="DW53" s="4347"/>
      <c r="DX53" s="3972">
        <v>0</v>
      </c>
    </row>
    <row s="6188" customFormat="1" customHeight="1" ht="23.25">
      <c r="A54" s="4334"/>
      <c r="B54" s="4334"/>
      <c r="C54" s="4334"/>
      <c r="D54" s="4334"/>
      <c r="E54" s="4335"/>
      <c r="F54" s="4335"/>
      <c r="G54" s="4335"/>
      <c r="H54" s="4335"/>
      <c r="I54" s="4336"/>
      <c r="J54" s="4337" t="str">
        <f>I45&amp;".3"</f>
        <v>1.1.1.1.3</v>
      </c>
      <c r="K54" s="4334"/>
      <c r="L54" s="4338" t="s">
        <v>410</v>
      </c>
      <c r="M54" s="4339"/>
      <c r="N54" s="4339"/>
      <c r="O54" s="4339"/>
      <c r="P54" s="4340"/>
      <c r="Q54" s="4341" t="s">
        <v>533</v>
      </c>
      <c r="R54" s="4342"/>
      <c r="S54" s="4343" t="str">
        <f>$J54</f>
        <v>1.1.1.1.3</v>
      </c>
      <c r="T54" s="4344" t="s">
        <v>411</v>
      </c>
      <c r="U54" s="4345"/>
      <c r="V54" s="3979"/>
      <c r="W54" s="3980"/>
      <c r="X54" s="3980"/>
      <c r="Y54" s="3980"/>
      <c r="Z54" s="3980"/>
      <c r="AA54" s="3980"/>
      <c r="AB54" s="3980"/>
      <c r="AC54" s="3980"/>
      <c r="AD54" s="3980"/>
      <c r="AE54" s="3980"/>
      <c r="AF54" s="3981"/>
      <c r="AG54" s="3979" t="s">
        <v>546</v>
      </c>
      <c r="AH54" s="3980"/>
      <c r="AI54" s="3980"/>
      <c r="AJ54" s="3980"/>
      <c r="AK54" s="3980"/>
      <c r="AL54" s="3980"/>
      <c r="AM54" s="3980"/>
      <c r="AN54" s="3980"/>
      <c r="AO54" s="3980"/>
      <c r="AP54" s="3980"/>
      <c r="AQ54" s="3980"/>
      <c r="AR54" s="3979"/>
      <c r="AS54" s="3980"/>
      <c r="AT54" s="3980"/>
      <c r="AU54" s="3980"/>
      <c r="AV54" s="3980"/>
      <c r="AW54" s="3980"/>
      <c r="AX54" s="3980"/>
      <c r="AY54" s="3980"/>
      <c r="AZ54" s="3980"/>
      <c r="BA54" s="3980"/>
      <c r="BB54" s="3981"/>
      <c r="BC54" s="3979"/>
      <c r="BD54" s="3980"/>
      <c r="BE54" s="3980"/>
      <c r="BF54" s="3980"/>
      <c r="BG54" s="3980"/>
      <c r="BH54" s="3980"/>
      <c r="BI54" s="3980"/>
      <c r="BJ54" s="3980"/>
      <c r="BK54" s="3980"/>
      <c r="BL54" s="3980"/>
      <c r="BM54" s="3981"/>
      <c r="BN54" s="3979"/>
      <c r="BO54" s="3980"/>
      <c r="BP54" s="3980"/>
      <c r="BQ54" s="3980"/>
      <c r="BR54" s="3980"/>
      <c r="BS54" s="3980"/>
      <c r="BT54" s="3980"/>
      <c r="BU54" s="3980"/>
      <c r="BV54" s="3980"/>
      <c r="BW54" s="3980"/>
      <c r="BX54" s="3981"/>
      <c r="BY54" s="3979"/>
      <c r="BZ54" s="3980"/>
      <c r="CA54" s="3980"/>
      <c r="CB54" s="3980"/>
      <c r="CC54" s="3980"/>
      <c r="CD54" s="3980"/>
      <c r="CE54" s="3980"/>
      <c r="CF54" s="3980"/>
      <c r="CG54" s="3980"/>
      <c r="CH54" s="3980"/>
      <c r="CI54" s="3981"/>
      <c r="CJ54" s="3979"/>
      <c r="CK54" s="3980"/>
      <c r="CL54" s="3980"/>
      <c r="CM54" s="3980"/>
      <c r="CN54" s="3980"/>
      <c r="CO54" s="3980"/>
      <c r="CP54" s="3980"/>
      <c r="CQ54" s="3980"/>
      <c r="CR54" s="3980"/>
      <c r="CS54" s="3980"/>
      <c r="CT54" s="3981"/>
      <c r="CU54" s="3979"/>
      <c r="CV54" s="3980"/>
      <c r="CW54" s="3980"/>
      <c r="CX54" s="3980"/>
      <c r="CY54" s="3980"/>
      <c r="CZ54" s="3980"/>
      <c r="DA54" s="3980"/>
      <c r="DB54" s="3980"/>
      <c r="DC54" s="3980"/>
      <c r="DD54" s="3980"/>
      <c r="DE54" s="3981"/>
      <c r="DF54" s="3979"/>
      <c r="DG54" s="3980"/>
      <c r="DH54" s="3980"/>
      <c r="DI54" s="3980"/>
      <c r="DJ54" s="3980"/>
      <c r="DK54" s="3980"/>
      <c r="DL54" s="3980"/>
      <c r="DM54" s="3980"/>
      <c r="DN54" s="3980"/>
      <c r="DO54" s="3980"/>
      <c r="DP54" s="6195"/>
      <c r="DQ54" s="3981"/>
      <c r="DR54" s="4346" t="s">
        <v>486</v>
      </c>
      <c r="DS54" s="4227"/>
      <c r="DT54" s="4347"/>
      <c r="DU54" s="4347" t="str">
        <f>IF(T54="","",T54)</f>
        <v>Группа потребителей</v>
      </c>
      <c r="DV54" s="4347"/>
      <c r="DW54" s="4347"/>
      <c r="DX54" s="3972">
        <v>0</v>
      </c>
    </row>
    <row s="6188" customFormat="1" customHeight="1" ht="23.25">
      <c r="A55" s="4334"/>
      <c r="B55" s="4334"/>
      <c r="C55" s="4334"/>
      <c r="D55" s="4334"/>
      <c r="E55" s="4335"/>
      <c r="F55" s="4335"/>
      <c r="G55" s="4335"/>
      <c r="H55" s="4335"/>
      <c r="I55" s="4336"/>
      <c r="J55" s="4336" t="str">
        <f>I45&amp;".2"</f>
        <v>1.1.1.1.2</v>
      </c>
      <c r="K55" s="4337" t="str">
        <f>J54&amp;".1"</f>
        <v>1.1.1.1.3.1</v>
      </c>
      <c r="L55" s="4338"/>
      <c r="M55" s="4339"/>
      <c r="N55" s="4339"/>
      <c r="O55" s="4339"/>
      <c r="P55" s="4340"/>
      <c r="Q55" s="4340"/>
      <c r="R55" s="4342">
        <v>1</v>
      </c>
      <c r="S55" s="4343" t="str">
        <f>$K55</f>
        <v>1.1.1.1.3.1</v>
      </c>
      <c r="T55" s="4349"/>
      <c r="U55" s="4345"/>
      <c r="V55" s="5965"/>
      <c r="W55" s="5965"/>
      <c r="X55" s="5965"/>
      <c r="Y55" s="5965"/>
      <c r="Z55" s="5965"/>
      <c r="AA55" s="5965"/>
      <c r="AB55" s="5965"/>
      <c r="AC55" s="3604"/>
      <c r="AD55" s="3605" t="s">
        <v>62</v>
      </c>
      <c r="AE55" s="3604"/>
      <c r="AF55" s="3605" t="s">
        <v>62</v>
      </c>
      <c r="AG55" s="3982"/>
      <c r="AH55" s="3982">
        <v>248.13</v>
      </c>
      <c r="AI55" s="3982"/>
      <c r="AJ55" s="3982"/>
      <c r="AK55" s="3982"/>
      <c r="AL55" s="3982"/>
      <c r="AM55" s="3982"/>
      <c r="AN55" s="6134">
        <v>46023.49354166666</v>
      </c>
      <c r="AO55" s="3984" t="s">
        <v>62</v>
      </c>
      <c r="AP55" s="4254">
        <v>46295.49385416666</v>
      </c>
      <c r="AQ55" s="3984" t="s">
        <v>62</v>
      </c>
      <c r="AR55" s="3982">
        <v>277.9</v>
      </c>
      <c r="AS55" s="3982"/>
      <c r="AT55" s="3982"/>
      <c r="AU55" s="3982"/>
      <c r="AV55" s="3982"/>
      <c r="AW55" s="3982"/>
      <c r="AX55" s="3982"/>
      <c r="AY55" s="6134">
        <v>46296.49402777778</v>
      </c>
      <c r="AZ55" s="3984" t="s">
        <v>62</v>
      </c>
      <c r="BA55" s="6134">
        <v>46387.494097222225</v>
      </c>
      <c r="BB55" s="3984" t="s">
        <v>62</v>
      </c>
      <c r="BC55" s="3982">
        <v>241.68</v>
      </c>
      <c r="BD55" s="3982"/>
      <c r="BE55" s="3982"/>
      <c r="BF55" s="3982"/>
      <c r="BG55" s="3982"/>
      <c r="BH55" s="3982"/>
      <c r="BI55" s="3982"/>
      <c r="BJ55" s="6134">
        <v>46388.49423611111</v>
      </c>
      <c r="BK55" s="3984" t="s">
        <v>62</v>
      </c>
      <c r="BL55" s="6134">
        <v>46568.49434027778</v>
      </c>
      <c r="BM55" s="3984" t="s">
        <v>62</v>
      </c>
      <c r="BN55" s="3982">
        <v>251.34</v>
      </c>
      <c r="BO55" s="3982"/>
      <c r="BP55" s="3982"/>
      <c r="BQ55" s="3982"/>
      <c r="BR55" s="3982"/>
      <c r="BS55" s="3982"/>
      <c r="BT55" s="3982"/>
      <c r="BU55" s="6134">
        <v>46569.494733796295</v>
      </c>
      <c r="BV55" s="3984" t="s">
        <v>62</v>
      </c>
      <c r="BW55" s="6134">
        <v>46752.49482638889</v>
      </c>
      <c r="BX55" s="3984" t="s">
        <v>62</v>
      </c>
      <c r="BY55" s="3982">
        <v>251.34</v>
      </c>
      <c r="BZ55" s="3982"/>
      <c r="CA55" s="3982"/>
      <c r="CB55" s="3982"/>
      <c r="CC55" s="3982"/>
      <c r="CD55" s="3982"/>
      <c r="CE55" s="3982"/>
      <c r="CF55" s="6134">
        <v>46753.494988425926</v>
      </c>
      <c r="CG55" s="3984" t="s">
        <v>62</v>
      </c>
      <c r="CH55" s="6134">
        <v>46934.49506944444</v>
      </c>
      <c r="CI55" s="3984" t="s">
        <v>62</v>
      </c>
      <c r="CJ55" s="3982">
        <v>261.39</v>
      </c>
      <c r="CK55" s="3982"/>
      <c r="CL55" s="3982"/>
      <c r="CM55" s="3982"/>
      <c r="CN55" s="3982"/>
      <c r="CO55" s="3982"/>
      <c r="CP55" s="3982"/>
      <c r="CQ55" s="6134">
        <v>46935.49524305556</v>
      </c>
      <c r="CR55" s="3984" t="s">
        <v>62</v>
      </c>
      <c r="CS55" s="6134">
        <v>47118.495416666665</v>
      </c>
      <c r="CT55" s="3984" t="s">
        <v>19</v>
      </c>
      <c r="CU55" s="5965"/>
      <c r="CV55" s="5965"/>
      <c r="CW55" s="5965"/>
      <c r="CX55" s="5965"/>
      <c r="CY55" s="5965"/>
      <c r="CZ55" s="5965"/>
      <c r="DA55" s="5965"/>
      <c r="DB55" s="3604"/>
      <c r="DC55" s="3605" t="s">
        <v>62</v>
      </c>
      <c r="DD55" s="3604"/>
      <c r="DE55" s="3605" t="s">
        <v>62</v>
      </c>
      <c r="DF55" s="5965"/>
      <c r="DG55" s="5965"/>
      <c r="DH55" s="5965"/>
      <c r="DI55" s="5965"/>
      <c r="DJ55" s="5965"/>
      <c r="DK55" s="5965"/>
      <c r="DL55" s="5965"/>
      <c r="DM55" s="3604"/>
      <c r="DN55" s="3605" t="s">
        <v>62</v>
      </c>
      <c r="DO55" s="3604"/>
      <c r="DP55" s="6223" t="s">
        <v>62</v>
      </c>
      <c r="DQ55" s="4350"/>
      <c r="DR55" s="4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55" s="4227">
        <f>STRCHECKDATE(V56:DQ56)</f>
      </c>
      <c r="DT55" s="4347"/>
      <c r="DU55" s="4347" t="str">
        <f>IF(T55="","",T55)</f>
        <v/>
      </c>
      <c r="DV55" s="4347"/>
      <c r="DW55" s="4347"/>
      <c r="DX55" s="3972">
        <v>0</v>
      </c>
    </row>
    <row s="6188" customFormat="1" customHeight="1" ht="14.25">
      <c r="A56" s="4334"/>
      <c r="B56" s="4334"/>
      <c r="C56" s="4334"/>
      <c r="D56" s="4334"/>
      <c r="E56" s="4335"/>
      <c r="F56" s="4335"/>
      <c r="G56" s="4335"/>
      <c r="H56" s="4335"/>
      <c r="I56" s="4336"/>
      <c r="J56" s="4336" t="str">
        <f>I45&amp;".2"</f>
        <v>1.1.1.1.2</v>
      </c>
      <c r="K56" s="4337"/>
      <c r="L56" s="4338"/>
      <c r="M56" s="4339"/>
      <c r="N56" s="4339"/>
      <c r="O56" s="4339"/>
      <c r="P56" s="4340"/>
      <c r="Q56" s="4340"/>
      <c r="R56" s="4342"/>
      <c r="S56" s="4353"/>
      <c r="T56" s="4345"/>
      <c r="U56" s="4345"/>
      <c r="V56" s="5965"/>
      <c r="W56" s="5965"/>
      <c r="X56" s="5965"/>
      <c r="Y56" s="5965"/>
      <c r="Z56" s="5965"/>
      <c r="AA56" s="5965"/>
      <c r="AB56" s="5965"/>
      <c r="AC56" s="3605"/>
      <c r="AD56" s="3605"/>
      <c r="AE56" s="3605"/>
      <c r="AF56" s="3605"/>
      <c r="AG56" s="3985"/>
      <c r="AH56" s="3985"/>
      <c r="AI56" s="3985"/>
      <c r="AJ56" s="3985"/>
      <c r="AK56" s="3985"/>
      <c r="AL56" s="3985"/>
      <c r="AM56" s="3985"/>
      <c r="AN56" s="3986"/>
      <c r="AO56" s="3984"/>
      <c r="AP56" s="4255"/>
      <c r="AQ56" s="3984"/>
      <c r="AR56" s="3985"/>
      <c r="AS56" s="3985"/>
      <c r="AT56" s="3985"/>
      <c r="AU56" s="3985"/>
      <c r="AV56" s="3985"/>
      <c r="AW56" s="3985"/>
      <c r="AX56" s="3985"/>
      <c r="AY56" s="3986"/>
      <c r="AZ56" s="3984"/>
      <c r="BA56" s="3986"/>
      <c r="BB56" s="3984"/>
      <c r="BC56" s="3985"/>
      <c r="BD56" s="3985"/>
      <c r="BE56" s="3985"/>
      <c r="BF56" s="3985"/>
      <c r="BG56" s="3985"/>
      <c r="BH56" s="3985"/>
      <c r="BI56" s="3985"/>
      <c r="BJ56" s="3986"/>
      <c r="BK56" s="3984"/>
      <c r="BL56" s="3986"/>
      <c r="BM56" s="3984"/>
      <c r="BN56" s="3985"/>
      <c r="BO56" s="3985"/>
      <c r="BP56" s="3985"/>
      <c r="BQ56" s="3985"/>
      <c r="BR56" s="3985"/>
      <c r="BS56" s="3985"/>
      <c r="BT56" s="3985"/>
      <c r="BU56" s="3986"/>
      <c r="BV56" s="3984"/>
      <c r="BW56" s="3986"/>
      <c r="BX56" s="3984"/>
      <c r="BY56" s="3985"/>
      <c r="BZ56" s="3985"/>
      <c r="CA56" s="3985"/>
      <c r="CB56" s="3985"/>
      <c r="CC56" s="3985"/>
      <c r="CD56" s="3985"/>
      <c r="CE56" s="3985"/>
      <c r="CF56" s="3986"/>
      <c r="CG56" s="3984"/>
      <c r="CH56" s="3986"/>
      <c r="CI56" s="3984"/>
      <c r="CJ56" s="3985"/>
      <c r="CK56" s="3985"/>
      <c r="CL56" s="3985"/>
      <c r="CM56" s="3985"/>
      <c r="CN56" s="3985"/>
      <c r="CO56" s="3985"/>
      <c r="CP56" s="3985"/>
      <c r="CQ56" s="3986"/>
      <c r="CR56" s="3984"/>
      <c r="CS56" s="3986"/>
      <c r="CT56" s="3984"/>
      <c r="CU56" s="5965"/>
      <c r="CV56" s="5965"/>
      <c r="CW56" s="5965"/>
      <c r="CX56" s="5965"/>
      <c r="CY56" s="5965"/>
      <c r="CZ56" s="5965"/>
      <c r="DA56" s="5965"/>
      <c r="DB56" s="3605"/>
      <c r="DC56" s="3605"/>
      <c r="DD56" s="3605"/>
      <c r="DE56" s="3605"/>
      <c r="DF56" s="5965"/>
      <c r="DG56" s="5965"/>
      <c r="DH56" s="5965"/>
      <c r="DI56" s="5965"/>
      <c r="DJ56" s="5965"/>
      <c r="DK56" s="5965"/>
      <c r="DL56" s="5965"/>
      <c r="DM56" s="3605"/>
      <c r="DN56" s="3605"/>
      <c r="DO56" s="3605"/>
      <c r="DP56" s="6223"/>
      <c r="DQ56" s="4354"/>
      <c r="DR56" s="4351"/>
      <c r="DS56" s="4227"/>
      <c r="DT56" s="4347"/>
      <c r="DU56" s="4347" t="str">
        <f>IF(T56="","",T56)</f>
        <v/>
      </c>
      <c r="DV56" s="4347"/>
      <c r="DW56" s="4347"/>
      <c r="DX56" s="3972">
        <v>0</v>
      </c>
    </row>
    <row s="6188" customFormat="1" customHeight="1" ht="21">
      <c r="A57" s="4334"/>
      <c r="B57" s="4334"/>
      <c r="C57" s="4334"/>
      <c r="D57" s="4334"/>
      <c r="E57" s="4335"/>
      <c r="F57" s="4335"/>
      <c r="G57" s="4335"/>
      <c r="H57" s="4335"/>
      <c r="I57" s="4336"/>
      <c r="J57" s="4337" t="str">
        <f>I45&amp;".2"</f>
        <v>1.1.1.1.2</v>
      </c>
      <c r="K57" s="4334"/>
      <c r="L57" s="4338"/>
      <c r="M57" s="4339"/>
      <c r="N57" s="4339"/>
      <c r="O57" s="4339"/>
      <c r="P57" s="4340"/>
      <c r="Q57" s="4340"/>
      <c r="R57" s="4356"/>
      <c r="S57" s="4465"/>
      <c r="T57" s="4466" t="s">
        <v>487</v>
      </c>
      <c r="U57" s="4467"/>
      <c r="V57" s="4468"/>
      <c r="W57" s="4469"/>
      <c r="X57" s="4470"/>
      <c r="Y57" s="4471"/>
      <c r="Z57" s="4472"/>
      <c r="AA57" s="4473"/>
      <c r="AB57" s="4474"/>
      <c r="AC57" s="4475"/>
      <c r="AD57" s="4476"/>
      <c r="AE57" s="4477"/>
      <c r="AF57" s="4478"/>
      <c r="AG57" s="4479"/>
      <c r="AH57" s="4480"/>
      <c r="AI57" s="4481"/>
      <c r="AJ57" s="4482"/>
      <c r="AK57" s="4483"/>
      <c r="AL57" s="4484"/>
      <c r="AM57" s="4485"/>
      <c r="AN57" s="4486"/>
      <c r="AO57" s="4487"/>
      <c r="AP57" s="4488"/>
      <c r="AQ57" s="4489"/>
      <c r="AR57" s="4490"/>
      <c r="AS57" s="4491"/>
      <c r="AT57" s="4492"/>
      <c r="AU57" s="4493"/>
      <c r="AV57" s="4494"/>
      <c r="AW57" s="4495"/>
      <c r="AX57" s="4496"/>
      <c r="AY57" s="4497"/>
      <c r="AZ57" s="4498"/>
      <c r="BA57" s="4499"/>
      <c r="BB57" s="4500"/>
      <c r="BC57" s="4501"/>
      <c r="BD57" s="4502"/>
      <c r="BE57" s="4503"/>
      <c r="BF57" s="4504"/>
      <c r="BG57" s="4505"/>
      <c r="BH57" s="4506"/>
      <c r="BI57" s="4507"/>
      <c r="BJ57" s="4508"/>
      <c r="BK57" s="4509"/>
      <c r="BL57" s="4510"/>
      <c r="BM57" s="4511"/>
      <c r="BN57" s="4512"/>
      <c r="BO57" s="4513"/>
      <c r="BP57" s="4514"/>
      <c r="BQ57" s="4515"/>
      <c r="BR57" s="4516"/>
      <c r="BS57" s="4517"/>
      <c r="BT57" s="4518"/>
      <c r="BU57" s="4519"/>
      <c r="BV57" s="4520"/>
      <c r="BW57" s="4521"/>
      <c r="BX57" s="4522"/>
      <c r="BY57" s="4523"/>
      <c r="BZ57" s="4524"/>
      <c r="CA57" s="4525"/>
      <c r="CB57" s="4526"/>
      <c r="CC57" s="4527"/>
      <c r="CD57" s="4528"/>
      <c r="CE57" s="4529"/>
      <c r="CF57" s="4530"/>
      <c r="CG57" s="4531"/>
      <c r="CH57" s="4532"/>
      <c r="CI57" s="4533"/>
      <c r="CJ57" s="4534"/>
      <c r="CK57" s="4535"/>
      <c r="CL57" s="4536"/>
      <c r="CM57" s="4537"/>
      <c r="CN57" s="4538"/>
      <c r="CO57" s="4539"/>
      <c r="CP57" s="4540"/>
      <c r="CQ57" s="4541"/>
      <c r="CR57" s="4542"/>
      <c r="CS57" s="4543"/>
      <c r="CT57" s="4544"/>
      <c r="CU57" s="4545"/>
      <c r="CV57" s="4546"/>
      <c r="CW57" s="4547"/>
      <c r="CX57" s="4548"/>
      <c r="CY57" s="4549"/>
      <c r="CZ57" s="4550"/>
      <c r="DA57" s="4551"/>
      <c r="DB57" s="4552"/>
      <c r="DC57" s="4553"/>
      <c r="DD57" s="4554"/>
      <c r="DE57" s="4555"/>
      <c r="DF57" s="4556"/>
      <c r="DG57" s="4557"/>
      <c r="DH57" s="4558"/>
      <c r="DI57" s="4559"/>
      <c r="DJ57" s="4560"/>
      <c r="DK57" s="4561"/>
      <c r="DL57" s="4562"/>
      <c r="DM57" s="4563"/>
      <c r="DN57" s="4564"/>
      <c r="DO57" s="4565"/>
      <c r="DP57" s="6215"/>
      <c r="DQ57" s="4567"/>
      <c r="DR57" s="4460" t="s">
        <v>488</v>
      </c>
      <c r="DS57" s="4227"/>
      <c r="DT57" s="4347"/>
      <c r="DU57" s="4347" t="str">
        <f>IF(T57="","",T57)</f>
        <v>Добавить значение признака дифференциации</v>
      </c>
      <c r="DV57" s="4347"/>
      <c r="DW57" s="4347"/>
      <c r="DX57" s="3972">
        <v>0</v>
      </c>
    </row>
    <row s="6188" customFormat="1" customHeight="1" ht="23.25">
      <c r="A58" s="4334"/>
      <c r="B58" s="4334"/>
      <c r="C58" s="4334"/>
      <c r="D58" s="4334"/>
      <c r="E58" s="4335"/>
      <c r="F58" s="4335"/>
      <c r="G58" s="4335"/>
      <c r="H58" s="4335"/>
      <c r="I58" s="4336"/>
      <c r="J58" s="4337" t="str">
        <f>I45&amp;".4"</f>
        <v>1.1.1.1.4</v>
      </c>
      <c r="K58" s="4334"/>
      <c r="L58" s="4338" t="s">
        <v>410</v>
      </c>
      <c r="M58" s="4339"/>
      <c r="N58" s="4339"/>
      <c r="O58" s="4339"/>
      <c r="P58" s="4340"/>
      <c r="Q58" s="4341" t="s">
        <v>533</v>
      </c>
      <c r="R58" s="4342"/>
      <c r="S58" s="4343" t="str">
        <f>$J58</f>
        <v>1.1.1.1.4</v>
      </c>
      <c r="T58" s="4344" t="s">
        <v>411</v>
      </c>
      <c r="U58" s="4345"/>
      <c r="V58" s="3979"/>
      <c r="W58" s="3980"/>
      <c r="X58" s="3980"/>
      <c r="Y58" s="3980"/>
      <c r="Z58" s="3980"/>
      <c r="AA58" s="3980"/>
      <c r="AB58" s="3980"/>
      <c r="AC58" s="3980"/>
      <c r="AD58" s="3980"/>
      <c r="AE58" s="3980"/>
      <c r="AF58" s="3981"/>
      <c r="AG58" s="3979" t="s">
        <v>546</v>
      </c>
      <c r="AH58" s="3980"/>
      <c r="AI58" s="3980"/>
      <c r="AJ58" s="3980"/>
      <c r="AK58" s="3980"/>
      <c r="AL58" s="3980"/>
      <c r="AM58" s="3980"/>
      <c r="AN58" s="3980"/>
      <c r="AO58" s="3980"/>
      <c r="AP58" s="3980"/>
      <c r="AQ58" s="3980"/>
      <c r="AR58" s="3979"/>
      <c r="AS58" s="3980"/>
      <c r="AT58" s="3980"/>
      <c r="AU58" s="3980"/>
      <c r="AV58" s="3980"/>
      <c r="AW58" s="3980"/>
      <c r="AX58" s="3980"/>
      <c r="AY58" s="3980"/>
      <c r="AZ58" s="3980"/>
      <c r="BA58" s="3980"/>
      <c r="BB58" s="3981"/>
      <c r="BC58" s="3979"/>
      <c r="BD58" s="3980"/>
      <c r="BE58" s="3980"/>
      <c r="BF58" s="3980"/>
      <c r="BG58" s="3980"/>
      <c r="BH58" s="3980"/>
      <c r="BI58" s="3980"/>
      <c r="BJ58" s="3980"/>
      <c r="BK58" s="3980"/>
      <c r="BL58" s="3980"/>
      <c r="BM58" s="3981"/>
      <c r="BN58" s="3979"/>
      <c r="BO58" s="3980"/>
      <c r="BP58" s="3980"/>
      <c r="BQ58" s="3980"/>
      <c r="BR58" s="3980"/>
      <c r="BS58" s="3980"/>
      <c r="BT58" s="3980"/>
      <c r="BU58" s="3980"/>
      <c r="BV58" s="3980"/>
      <c r="BW58" s="3980"/>
      <c r="BX58" s="3981"/>
      <c r="BY58" s="3979"/>
      <c r="BZ58" s="3980"/>
      <c r="CA58" s="3980"/>
      <c r="CB58" s="3980"/>
      <c r="CC58" s="3980"/>
      <c r="CD58" s="3980"/>
      <c r="CE58" s="3980"/>
      <c r="CF58" s="3980"/>
      <c r="CG58" s="3980"/>
      <c r="CH58" s="3980"/>
      <c r="CI58" s="3981"/>
      <c r="CJ58" s="3979"/>
      <c r="CK58" s="3980"/>
      <c r="CL58" s="3980"/>
      <c r="CM58" s="3980"/>
      <c r="CN58" s="3980"/>
      <c r="CO58" s="3980"/>
      <c r="CP58" s="3980"/>
      <c r="CQ58" s="3980"/>
      <c r="CR58" s="3980"/>
      <c r="CS58" s="3980"/>
      <c r="CT58" s="3981"/>
      <c r="CU58" s="3979"/>
      <c r="CV58" s="3980"/>
      <c r="CW58" s="3980"/>
      <c r="CX58" s="3980"/>
      <c r="CY58" s="3980"/>
      <c r="CZ58" s="3980"/>
      <c r="DA58" s="3980"/>
      <c r="DB58" s="3980"/>
      <c r="DC58" s="3980"/>
      <c r="DD58" s="3980"/>
      <c r="DE58" s="3981"/>
      <c r="DF58" s="3979"/>
      <c r="DG58" s="3980"/>
      <c r="DH58" s="3980"/>
      <c r="DI58" s="3980"/>
      <c r="DJ58" s="3980"/>
      <c r="DK58" s="3980"/>
      <c r="DL58" s="3980"/>
      <c r="DM58" s="3980"/>
      <c r="DN58" s="3980"/>
      <c r="DO58" s="3980"/>
      <c r="DP58" s="6195"/>
      <c r="DQ58" s="3981"/>
      <c r="DR58" s="4346" t="s">
        <v>486</v>
      </c>
      <c r="DS58" s="4227"/>
      <c r="DT58" s="4347"/>
      <c r="DU58" s="4347" t="str">
        <f>IF(T58="","",T58)</f>
        <v>Группа потребителей</v>
      </c>
      <c r="DV58" s="4347"/>
      <c r="DW58" s="4347"/>
      <c r="DX58" s="3972">
        <v>0</v>
      </c>
    </row>
    <row s="6188" customFormat="1" customHeight="1" ht="23.25">
      <c r="A59" s="4334"/>
      <c r="B59" s="4334"/>
      <c r="C59" s="4334"/>
      <c r="D59" s="4334"/>
      <c r="E59" s="4335"/>
      <c r="F59" s="4335"/>
      <c r="G59" s="4335"/>
      <c r="H59" s="4335"/>
      <c r="I59" s="4336"/>
      <c r="J59" s="4336" t="str">
        <f>I45&amp;".3"</f>
        <v>1.1.1.1.3</v>
      </c>
      <c r="K59" s="4337" t="str">
        <f>J58&amp;".1"</f>
        <v>1.1.1.1.4.1</v>
      </c>
      <c r="L59" s="4338"/>
      <c r="M59" s="4339"/>
      <c r="N59" s="4339"/>
      <c r="O59" s="4339"/>
      <c r="P59" s="4340"/>
      <c r="Q59" s="4340"/>
      <c r="R59" s="4342">
        <v>1</v>
      </c>
      <c r="S59" s="4343" t="str">
        <f>$K59</f>
        <v>1.1.1.1.4.1</v>
      </c>
      <c r="T59" s="4349"/>
      <c r="U59" s="4345"/>
      <c r="V59" s="5965"/>
      <c r="W59" s="5965"/>
      <c r="X59" s="5965"/>
      <c r="Y59" s="5965"/>
      <c r="Z59" s="5965"/>
      <c r="AA59" s="5965"/>
      <c r="AB59" s="5965"/>
      <c r="AC59" s="3604"/>
      <c r="AD59" s="3605" t="s">
        <v>62</v>
      </c>
      <c r="AE59" s="3604"/>
      <c r="AF59" s="3605" t="s">
        <v>62</v>
      </c>
      <c r="AG59" s="3982"/>
      <c r="AH59" s="3982">
        <v>233.15</v>
      </c>
      <c r="AI59" s="3982"/>
      <c r="AJ59" s="3982"/>
      <c r="AK59" s="3982"/>
      <c r="AL59" s="3982"/>
      <c r="AM59" s="3982"/>
      <c r="AN59" s="6134">
        <v>46023.54371527778</v>
      </c>
      <c r="AO59" s="3984" t="s">
        <v>62</v>
      </c>
      <c r="AP59" s="4254">
        <v>46295.54378472222</v>
      </c>
      <c r="AQ59" s="3984" t="s">
        <v>62</v>
      </c>
      <c r="AR59" s="3982">
        <v>261.12</v>
      </c>
      <c r="AS59" s="3982"/>
      <c r="AT59" s="3982"/>
      <c r="AU59" s="3982"/>
      <c r="AV59" s="3982"/>
      <c r="AW59" s="3982"/>
      <c r="AX59" s="3982"/>
      <c r="AY59" s="6134">
        <v>46296.54408564815</v>
      </c>
      <c r="AZ59" s="3984" t="s">
        <v>62</v>
      </c>
      <c r="BA59" s="6134">
        <v>46387.544965277775</v>
      </c>
      <c r="BB59" s="3984" t="s">
        <v>62</v>
      </c>
      <c r="BC59" s="3982">
        <v>227.19</v>
      </c>
      <c r="BD59" s="3982"/>
      <c r="BE59" s="3982"/>
      <c r="BF59" s="3982"/>
      <c r="BG59" s="3982"/>
      <c r="BH59" s="3982"/>
      <c r="BI59" s="3982"/>
      <c r="BJ59" s="6134">
        <v>46388.54509259259</v>
      </c>
      <c r="BK59" s="3984" t="s">
        <v>62</v>
      </c>
      <c r="BL59" s="6134">
        <v>46568.54516203704</v>
      </c>
      <c r="BM59" s="3984" t="s">
        <v>62</v>
      </c>
      <c r="BN59" s="3982">
        <v>236.27</v>
      </c>
      <c r="BO59" s="3982"/>
      <c r="BP59" s="3982"/>
      <c r="BQ59" s="3982"/>
      <c r="BR59" s="3982"/>
      <c r="BS59" s="3982"/>
      <c r="BT59" s="3982"/>
      <c r="BU59" s="6134">
        <v>46569.545590277776</v>
      </c>
      <c r="BV59" s="3984" t="s">
        <v>62</v>
      </c>
      <c r="BW59" s="6134">
        <v>46752.54565972222</v>
      </c>
      <c r="BX59" s="3984" t="s">
        <v>62</v>
      </c>
      <c r="BY59" s="3982">
        <v>236.27</v>
      </c>
      <c r="BZ59" s="3982"/>
      <c r="CA59" s="3982"/>
      <c r="CB59" s="3982"/>
      <c r="CC59" s="3982"/>
      <c r="CD59" s="3982"/>
      <c r="CE59" s="3982"/>
      <c r="CF59" s="6134">
        <v>46753.54582175926</v>
      </c>
      <c r="CG59" s="3984" t="s">
        <v>62</v>
      </c>
      <c r="CH59" s="6134">
        <v>46934.54592592592</v>
      </c>
      <c r="CI59" s="3984" t="s">
        <v>62</v>
      </c>
      <c r="CJ59" s="3982">
        <v>245.72</v>
      </c>
      <c r="CK59" s="3982"/>
      <c r="CL59" s="3982"/>
      <c r="CM59" s="3982"/>
      <c r="CN59" s="3982"/>
      <c r="CO59" s="3982"/>
      <c r="CP59" s="3982"/>
      <c r="CQ59" s="6134">
        <v>46935.54618055555</v>
      </c>
      <c r="CR59" s="3984" t="s">
        <v>62</v>
      </c>
      <c r="CS59" s="6134">
        <v>47118.54628472222</v>
      </c>
      <c r="CT59" s="3984" t="s">
        <v>19</v>
      </c>
      <c r="CU59" s="5965"/>
      <c r="CV59" s="5965"/>
      <c r="CW59" s="5965"/>
      <c r="CX59" s="5965"/>
      <c r="CY59" s="5965"/>
      <c r="CZ59" s="5965"/>
      <c r="DA59" s="5965"/>
      <c r="DB59" s="3604"/>
      <c r="DC59" s="3605" t="s">
        <v>62</v>
      </c>
      <c r="DD59" s="3604"/>
      <c r="DE59" s="3605" t="s">
        <v>62</v>
      </c>
      <c r="DF59" s="5965"/>
      <c r="DG59" s="5965"/>
      <c r="DH59" s="5965"/>
      <c r="DI59" s="5965"/>
      <c r="DJ59" s="5965"/>
      <c r="DK59" s="5965"/>
      <c r="DL59" s="5965"/>
      <c r="DM59" s="3604"/>
      <c r="DN59" s="3605" t="s">
        <v>62</v>
      </c>
      <c r="DO59" s="3604"/>
      <c r="DP59" s="6223" t="s">
        <v>62</v>
      </c>
      <c r="DQ59" s="4350"/>
      <c r="DR59" s="4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59" s="4227">
        <f>STRCHECKDATE(V60:DQ60)</f>
      </c>
      <c r="DT59" s="4347"/>
      <c r="DU59" s="4347" t="str">
        <f>IF(T59="","",T59)</f>
        <v/>
      </c>
      <c r="DV59" s="4347"/>
      <c r="DW59" s="4347"/>
      <c r="DX59" s="3972">
        <v>0</v>
      </c>
    </row>
    <row s="6188" customFormat="1" customHeight="1" ht="14.25">
      <c r="A60" s="4334"/>
      <c r="B60" s="4334"/>
      <c r="C60" s="4334"/>
      <c r="D60" s="4334"/>
      <c r="E60" s="4335"/>
      <c r="F60" s="4335"/>
      <c r="G60" s="4335"/>
      <c r="H60" s="4335"/>
      <c r="I60" s="4336"/>
      <c r="J60" s="4336" t="str">
        <f>I45&amp;".3"</f>
        <v>1.1.1.1.3</v>
      </c>
      <c r="K60" s="4337"/>
      <c r="L60" s="4338"/>
      <c r="M60" s="4339"/>
      <c r="N60" s="4339"/>
      <c r="O60" s="4339"/>
      <c r="P60" s="4340"/>
      <c r="Q60" s="4340"/>
      <c r="R60" s="4342"/>
      <c r="S60" s="4353"/>
      <c r="T60" s="4345"/>
      <c r="U60" s="4345"/>
      <c r="V60" s="5965"/>
      <c r="W60" s="5965"/>
      <c r="X60" s="5965"/>
      <c r="Y60" s="5965"/>
      <c r="Z60" s="5965"/>
      <c r="AA60" s="5965"/>
      <c r="AB60" s="5965"/>
      <c r="AC60" s="3605"/>
      <c r="AD60" s="3605"/>
      <c r="AE60" s="3605"/>
      <c r="AF60" s="3605"/>
      <c r="AG60" s="3985"/>
      <c r="AH60" s="3985"/>
      <c r="AI60" s="3985"/>
      <c r="AJ60" s="3985"/>
      <c r="AK60" s="3985"/>
      <c r="AL60" s="3985"/>
      <c r="AM60" s="3985"/>
      <c r="AN60" s="3986"/>
      <c r="AO60" s="3984"/>
      <c r="AP60" s="4255"/>
      <c r="AQ60" s="3984"/>
      <c r="AR60" s="3985"/>
      <c r="AS60" s="3985"/>
      <c r="AT60" s="3985"/>
      <c r="AU60" s="3985"/>
      <c r="AV60" s="3985"/>
      <c r="AW60" s="3985"/>
      <c r="AX60" s="3985"/>
      <c r="AY60" s="3986"/>
      <c r="AZ60" s="3984"/>
      <c r="BA60" s="3986"/>
      <c r="BB60" s="3984"/>
      <c r="BC60" s="3985"/>
      <c r="BD60" s="3985"/>
      <c r="BE60" s="3985"/>
      <c r="BF60" s="3985"/>
      <c r="BG60" s="3985"/>
      <c r="BH60" s="3985"/>
      <c r="BI60" s="3985"/>
      <c r="BJ60" s="3986"/>
      <c r="BK60" s="3984"/>
      <c r="BL60" s="3986"/>
      <c r="BM60" s="3984"/>
      <c r="BN60" s="3985"/>
      <c r="BO60" s="3985"/>
      <c r="BP60" s="3985"/>
      <c r="BQ60" s="3985"/>
      <c r="BR60" s="3985"/>
      <c r="BS60" s="3985"/>
      <c r="BT60" s="3985"/>
      <c r="BU60" s="3986"/>
      <c r="BV60" s="3984"/>
      <c r="BW60" s="3986"/>
      <c r="BX60" s="3984"/>
      <c r="BY60" s="3985"/>
      <c r="BZ60" s="3985"/>
      <c r="CA60" s="3985"/>
      <c r="CB60" s="3985"/>
      <c r="CC60" s="3985"/>
      <c r="CD60" s="3985"/>
      <c r="CE60" s="3985"/>
      <c r="CF60" s="3986"/>
      <c r="CG60" s="3984"/>
      <c r="CH60" s="3986"/>
      <c r="CI60" s="3984"/>
      <c r="CJ60" s="3985"/>
      <c r="CK60" s="3985"/>
      <c r="CL60" s="3985"/>
      <c r="CM60" s="3985"/>
      <c r="CN60" s="3985"/>
      <c r="CO60" s="3985"/>
      <c r="CP60" s="3985"/>
      <c r="CQ60" s="3986"/>
      <c r="CR60" s="3984"/>
      <c r="CS60" s="3986"/>
      <c r="CT60" s="3984"/>
      <c r="CU60" s="5965"/>
      <c r="CV60" s="5965"/>
      <c r="CW60" s="5965"/>
      <c r="CX60" s="5965"/>
      <c r="CY60" s="5965"/>
      <c r="CZ60" s="5965"/>
      <c r="DA60" s="5965"/>
      <c r="DB60" s="3605"/>
      <c r="DC60" s="3605"/>
      <c r="DD60" s="3605"/>
      <c r="DE60" s="3605"/>
      <c r="DF60" s="5965"/>
      <c r="DG60" s="5965"/>
      <c r="DH60" s="5965"/>
      <c r="DI60" s="5965"/>
      <c r="DJ60" s="5965"/>
      <c r="DK60" s="5965"/>
      <c r="DL60" s="5965"/>
      <c r="DM60" s="3605"/>
      <c r="DN60" s="3605"/>
      <c r="DO60" s="3605"/>
      <c r="DP60" s="6223"/>
      <c r="DQ60" s="4354"/>
      <c r="DR60" s="4351"/>
      <c r="DS60" s="4227"/>
      <c r="DT60" s="4347"/>
      <c r="DU60" s="4347" t="str">
        <f>IF(T60="","",T60)</f>
        <v/>
      </c>
      <c r="DV60" s="4347"/>
      <c r="DW60" s="4347"/>
      <c r="DX60" s="3972">
        <v>0</v>
      </c>
    </row>
    <row s="6188" customFormat="1" customHeight="1" ht="21">
      <c r="A61" s="4334"/>
      <c r="B61" s="4334"/>
      <c r="C61" s="4334"/>
      <c r="D61" s="4334"/>
      <c r="E61" s="4335"/>
      <c r="F61" s="4335"/>
      <c r="G61" s="4335"/>
      <c r="H61" s="4335"/>
      <c r="I61" s="4336"/>
      <c r="J61" s="4337" t="str">
        <f>I45&amp;".3"</f>
        <v>1.1.1.1.3</v>
      </c>
      <c r="K61" s="4334"/>
      <c r="L61" s="4338"/>
      <c r="M61" s="4339"/>
      <c r="N61" s="4339"/>
      <c r="O61" s="4339"/>
      <c r="P61" s="4340"/>
      <c r="Q61" s="4340"/>
      <c r="R61" s="4356"/>
      <c r="S61" s="4572"/>
      <c r="T61" s="4573" t="s">
        <v>487</v>
      </c>
      <c r="U61" s="4574"/>
      <c r="V61" s="4575"/>
      <c r="W61" s="4576"/>
      <c r="X61" s="4577"/>
      <c r="Y61" s="4578"/>
      <c r="Z61" s="4579"/>
      <c r="AA61" s="4580"/>
      <c r="AB61" s="4581"/>
      <c r="AC61" s="4582"/>
      <c r="AD61" s="4583"/>
      <c r="AE61" s="4584"/>
      <c r="AF61" s="4585"/>
      <c r="AG61" s="4586"/>
      <c r="AH61" s="4587"/>
      <c r="AI61" s="4588"/>
      <c r="AJ61" s="4589"/>
      <c r="AK61" s="4590"/>
      <c r="AL61" s="4591"/>
      <c r="AM61" s="4592"/>
      <c r="AN61" s="4593"/>
      <c r="AO61" s="4594"/>
      <c r="AP61" s="4595"/>
      <c r="AQ61" s="4596"/>
      <c r="AR61" s="4597"/>
      <c r="AS61" s="4598"/>
      <c r="AT61" s="4599"/>
      <c r="AU61" s="4600"/>
      <c r="AV61" s="4601"/>
      <c r="AW61" s="4602"/>
      <c r="AX61" s="4603"/>
      <c r="AY61" s="4604"/>
      <c r="AZ61" s="4605"/>
      <c r="BA61" s="4606"/>
      <c r="BB61" s="4607"/>
      <c r="BC61" s="4608"/>
      <c r="BD61" s="4609"/>
      <c r="BE61" s="4610"/>
      <c r="BF61" s="4611"/>
      <c r="BG61" s="4612"/>
      <c r="BH61" s="4613"/>
      <c r="BI61" s="4614"/>
      <c r="BJ61" s="4615"/>
      <c r="BK61" s="4616"/>
      <c r="BL61" s="4617"/>
      <c r="BM61" s="4618"/>
      <c r="BN61" s="4619"/>
      <c r="BO61" s="4620"/>
      <c r="BP61" s="4621"/>
      <c r="BQ61" s="4622"/>
      <c r="BR61" s="4623"/>
      <c r="BS61" s="4624"/>
      <c r="BT61" s="4625"/>
      <c r="BU61" s="4626"/>
      <c r="BV61" s="4627"/>
      <c r="BW61" s="4628"/>
      <c r="BX61" s="4629"/>
      <c r="BY61" s="4630"/>
      <c r="BZ61" s="4631"/>
      <c r="CA61" s="4632"/>
      <c r="CB61" s="4633"/>
      <c r="CC61" s="4634"/>
      <c r="CD61" s="4635"/>
      <c r="CE61" s="4636"/>
      <c r="CF61" s="4637"/>
      <c r="CG61" s="4638"/>
      <c r="CH61" s="4639"/>
      <c r="CI61" s="4640"/>
      <c r="CJ61" s="4641"/>
      <c r="CK61" s="4642"/>
      <c r="CL61" s="4643"/>
      <c r="CM61" s="4644"/>
      <c r="CN61" s="4645"/>
      <c r="CO61" s="4646"/>
      <c r="CP61" s="4647"/>
      <c r="CQ61" s="4648"/>
      <c r="CR61" s="4649"/>
      <c r="CS61" s="4650"/>
      <c r="CT61" s="4651"/>
      <c r="CU61" s="4652"/>
      <c r="CV61" s="4653"/>
      <c r="CW61" s="4654"/>
      <c r="CX61" s="4655"/>
      <c r="CY61" s="4656"/>
      <c r="CZ61" s="4657"/>
      <c r="DA61" s="4658"/>
      <c r="DB61" s="4659"/>
      <c r="DC61" s="4660"/>
      <c r="DD61" s="4661"/>
      <c r="DE61" s="4662"/>
      <c r="DF61" s="4663"/>
      <c r="DG61" s="4664"/>
      <c r="DH61" s="4665"/>
      <c r="DI61" s="4666"/>
      <c r="DJ61" s="4667"/>
      <c r="DK61" s="4668"/>
      <c r="DL61" s="4669"/>
      <c r="DM61" s="4670"/>
      <c r="DN61" s="4671"/>
      <c r="DO61" s="4672"/>
      <c r="DP61" s="6216"/>
      <c r="DQ61" s="4674"/>
      <c r="DR61" s="4460" t="s">
        <v>488</v>
      </c>
      <c r="DS61" s="4227"/>
      <c r="DT61" s="4347"/>
      <c r="DU61" s="4347" t="str">
        <f>IF(T61="","",T61)</f>
        <v>Добавить значение признака дифференциации</v>
      </c>
      <c r="DV61" s="4347"/>
      <c r="DW61" s="4347"/>
      <c r="DX61" s="3972">
        <v>0</v>
      </c>
    </row>
    <row customHeight="1" ht="22.049999999999997">
      <c r="A62" s="1427" t="s">
        <v>252</v>
      </c>
      <c r="B62" s="1427" t="s">
        <v>253</v>
      </c>
      <c r="C62" s="1427" t="s">
        <v>254</v>
      </c>
      <c r="D62" s="1427" t="s">
        <v>544</v>
      </c>
      <c r="E62" s="2323"/>
      <c r="F62" s="2323"/>
      <c r="G62" s="2323"/>
      <c r="H62" s="2323"/>
      <c r="I62" s="2320"/>
      <c r="J62" s="1427"/>
      <c r="K62" s="1427"/>
      <c r="L62" s="1428"/>
      <c r="P62" s="2321"/>
      <c r="Q62" s="1545"/>
      <c r="R62" s="420"/>
      <c r="S62" s="1342"/>
      <c r="T62" s="429" t="s">
        <v>416</v>
      </c>
      <c r="U62" s="431"/>
      <c r="V62" s="431"/>
      <c r="W62" s="664"/>
      <c r="X62" s="664"/>
      <c r="Y62" s="664"/>
      <c r="Z62" s="664"/>
      <c r="AA62" s="664"/>
      <c r="AB62" s="664"/>
      <c r="AC62" s="431"/>
      <c r="AD62" s="431"/>
      <c r="AE62" s="431"/>
      <c r="AF62" s="430"/>
      <c r="AG62" s="431"/>
      <c r="AH62" s="664"/>
      <c r="AI62" s="664"/>
      <c r="AJ62" s="664"/>
      <c r="AK62" s="664"/>
      <c r="AL62" s="664"/>
      <c r="AM62" s="431"/>
      <c r="AN62" s="431"/>
      <c r="AO62" s="431"/>
      <c r="AP62" s="431"/>
      <c r="AQ62" s="430"/>
      <c r="AR62" s="4675"/>
      <c r="AS62" s="4676"/>
      <c r="AT62" s="4677"/>
      <c r="AU62" s="4678"/>
      <c r="AV62" s="4679"/>
      <c r="AW62" s="4680"/>
      <c r="AX62" s="4681"/>
      <c r="AY62" s="4682"/>
      <c r="AZ62" s="4683"/>
      <c r="BA62" s="4684"/>
      <c r="BB62" s="4685"/>
      <c r="BC62" s="4686"/>
      <c r="BD62" s="4687"/>
      <c r="BE62" s="4688"/>
      <c r="BF62" s="4689"/>
      <c r="BG62" s="4690"/>
      <c r="BH62" s="4691"/>
      <c r="BI62" s="4692"/>
      <c r="BJ62" s="4693"/>
      <c r="BK62" s="4694"/>
      <c r="BL62" s="4695"/>
      <c r="BM62" s="4696"/>
      <c r="BN62" s="4697"/>
      <c r="BO62" s="4698"/>
      <c r="BP62" s="4699"/>
      <c r="BQ62" s="4700"/>
      <c r="BR62" s="4701"/>
      <c r="BS62" s="4702"/>
      <c r="BT62" s="4703"/>
      <c r="BU62" s="4704"/>
      <c r="BV62" s="4705"/>
      <c r="BW62" s="4706"/>
      <c r="BX62" s="4707"/>
      <c r="BY62" s="4708"/>
      <c r="BZ62" s="4709"/>
      <c r="CA62" s="4710"/>
      <c r="CB62" s="4711"/>
      <c r="CC62" s="4712"/>
      <c r="CD62" s="4713"/>
      <c r="CE62" s="4714"/>
      <c r="CF62" s="4715"/>
      <c r="CG62" s="4716"/>
      <c r="CH62" s="4717"/>
      <c r="CI62" s="4718"/>
      <c r="CJ62" s="4719"/>
      <c r="CK62" s="4720"/>
      <c r="CL62" s="4721"/>
      <c r="CM62" s="4722"/>
      <c r="CN62" s="4723"/>
      <c r="CO62" s="4724"/>
      <c r="CP62" s="4725"/>
      <c r="CQ62" s="4726"/>
      <c r="CR62" s="4727"/>
      <c r="CS62" s="4728"/>
      <c r="CT62" s="4729"/>
      <c r="CU62" s="4730"/>
      <c r="CV62" s="4731"/>
      <c r="CW62" s="4732"/>
      <c r="CX62" s="4733"/>
      <c r="CY62" s="4734"/>
      <c r="CZ62" s="4735"/>
      <c r="DA62" s="4736"/>
      <c r="DB62" s="4737"/>
      <c r="DC62" s="4738"/>
      <c r="DD62" s="4739"/>
      <c r="DE62" s="4740"/>
      <c r="DF62" s="4741"/>
      <c r="DG62" s="4742"/>
      <c r="DH62" s="4743"/>
      <c r="DI62" s="4744"/>
      <c r="DJ62" s="4745"/>
      <c r="DK62" s="4746"/>
      <c r="DL62" s="4747"/>
      <c r="DM62" s="4748"/>
      <c r="DN62" s="4749"/>
      <c r="DO62" s="4750"/>
      <c r="DP62" s="6217"/>
      <c r="DQ62" s="431"/>
      <c r="DR62" s="1504"/>
      <c r="DT62" s="564"/>
      <c r="DU62" s="564" t="str">
        <f>IF(T62="","",T62)</f>
        <v>Добавить группу потребителей</v>
      </c>
      <c r="DV62" s="564"/>
      <c r="DW62" s="564"/>
      <c r="DX62" s="1219">
        <v>21</v>
      </c>
    </row>
    <row customHeight="1" ht="22.049999999999997">
      <c r="A63" s="1427" t="s">
        <v>252</v>
      </c>
      <c r="B63" s="1427" t="s">
        <v>253</v>
      </c>
      <c r="C63" s="1427" t="s">
        <v>254</v>
      </c>
      <c r="D63" s="1427" t="s">
        <v>544</v>
      </c>
      <c r="E63" s="2323"/>
      <c r="F63" s="2323"/>
      <c r="G63" s="2323"/>
      <c r="H63" s="2322"/>
      <c r="I63" s="1427"/>
      <c r="J63" s="1427"/>
      <c r="K63" s="1427"/>
      <c r="L63" s="1428"/>
      <c r="M63" s="1429"/>
      <c r="N63" s="1429"/>
      <c r="O63" s="601"/>
      <c r="P63" s="424"/>
      <c r="Q63" s="439"/>
      <c r="R63" s="419"/>
      <c r="S63" s="1342"/>
      <c r="T63" s="436" t="s">
        <v>489</v>
      </c>
      <c r="U63" s="431"/>
      <c r="V63" s="431"/>
      <c r="W63" s="664"/>
      <c r="X63" s="664"/>
      <c r="Y63" s="664"/>
      <c r="Z63" s="664"/>
      <c r="AA63" s="664"/>
      <c r="AB63" s="664"/>
      <c r="AC63" s="431"/>
      <c r="AD63" s="431"/>
      <c r="AE63" s="431"/>
      <c r="AF63" s="430"/>
      <c r="AG63" s="431"/>
      <c r="AH63" s="664"/>
      <c r="AI63" s="664"/>
      <c r="AJ63" s="664"/>
      <c r="AK63" s="664"/>
      <c r="AL63" s="664"/>
      <c r="AM63" s="431"/>
      <c r="AN63" s="431"/>
      <c r="AO63" s="431"/>
      <c r="AP63" s="431"/>
      <c r="AQ63" s="430"/>
      <c r="AR63" s="4752"/>
      <c r="AS63" s="4753"/>
      <c r="AT63" s="4754"/>
      <c r="AU63" s="4755"/>
      <c r="AV63" s="4756"/>
      <c r="AW63" s="4757"/>
      <c r="AX63" s="4758"/>
      <c r="AY63" s="4759"/>
      <c r="AZ63" s="4760"/>
      <c r="BA63" s="4761"/>
      <c r="BB63" s="4762"/>
      <c r="BC63" s="4763"/>
      <c r="BD63" s="4764"/>
      <c r="BE63" s="4765"/>
      <c r="BF63" s="4766"/>
      <c r="BG63" s="4767"/>
      <c r="BH63" s="4768"/>
      <c r="BI63" s="4769"/>
      <c r="BJ63" s="4770"/>
      <c r="BK63" s="4771"/>
      <c r="BL63" s="4772"/>
      <c r="BM63" s="4773"/>
      <c r="BN63" s="4774"/>
      <c r="BO63" s="4775"/>
      <c r="BP63" s="4776"/>
      <c r="BQ63" s="4777"/>
      <c r="BR63" s="4778"/>
      <c r="BS63" s="4779"/>
      <c r="BT63" s="4780"/>
      <c r="BU63" s="4781"/>
      <c r="BV63" s="4782"/>
      <c r="BW63" s="4783"/>
      <c r="BX63" s="4784"/>
      <c r="BY63" s="4785"/>
      <c r="BZ63" s="4786"/>
      <c r="CA63" s="4787"/>
      <c r="CB63" s="4788"/>
      <c r="CC63" s="4789"/>
      <c r="CD63" s="4790"/>
      <c r="CE63" s="4791"/>
      <c r="CF63" s="4792"/>
      <c r="CG63" s="4793"/>
      <c r="CH63" s="4794"/>
      <c r="CI63" s="4795"/>
      <c r="CJ63" s="4796"/>
      <c r="CK63" s="4797"/>
      <c r="CL63" s="4798"/>
      <c r="CM63" s="4799"/>
      <c r="CN63" s="4800"/>
      <c r="CO63" s="4801"/>
      <c r="CP63" s="4802"/>
      <c r="CQ63" s="4803"/>
      <c r="CR63" s="4804"/>
      <c r="CS63" s="4805"/>
      <c r="CT63" s="4806"/>
      <c r="CU63" s="4807"/>
      <c r="CV63" s="4808"/>
      <c r="CW63" s="4809"/>
      <c r="CX63" s="4810"/>
      <c r="CY63" s="4811"/>
      <c r="CZ63" s="4812"/>
      <c r="DA63" s="4813"/>
      <c r="DB63" s="4814"/>
      <c r="DC63" s="4815"/>
      <c r="DD63" s="4816"/>
      <c r="DE63" s="4817"/>
      <c r="DF63" s="4818"/>
      <c r="DG63" s="4819"/>
      <c r="DH63" s="4820"/>
      <c r="DI63" s="4821"/>
      <c r="DJ63" s="4822"/>
      <c r="DK63" s="4823"/>
      <c r="DL63" s="4824"/>
      <c r="DM63" s="4825"/>
      <c r="DN63" s="4826"/>
      <c r="DO63" s="4827"/>
      <c r="DP63" s="6218"/>
      <c r="DQ63" s="431"/>
      <c r="DR63" s="367"/>
      <c r="DT63" s="564"/>
      <c r="DU63" s="564" t="str">
        <f>IF(T63="","",T63)</f>
        <v>Добавить наименование признака дифференциации</v>
      </c>
      <c r="DV63" s="564"/>
      <c r="DW63" s="564"/>
      <c r="DX63" s="1219">
        <v>21</v>
      </c>
    </row>
    <row s="4976" customFormat="1" customHeight="1" ht="0">
      <c r="A64" s="1407" t="s">
        <v>252</v>
      </c>
      <c r="B64" s="1407" t="s">
        <v>253</v>
      </c>
      <c r="C64" s="1378"/>
      <c r="D64" s="1378"/>
      <c r="E64" s="2323"/>
      <c r="F64" s="2322"/>
      <c r="G64" s="1378"/>
      <c r="H64" s="1378"/>
      <c r="I64" s="1378"/>
      <c r="J64" s="1378"/>
      <c r="K64" s="1378"/>
      <c r="L64" s="1558"/>
      <c r="M64" s="1385"/>
      <c r="N64" s="1385"/>
      <c r="P64" s="1380"/>
      <c r="Q64" s="1381"/>
      <c r="R64" s="1380"/>
      <c r="S64" s="1386"/>
      <c r="T64" s="1389" t="s">
        <v>255</v>
      </c>
      <c r="U64" s="1388"/>
      <c r="V64" s="1388"/>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4218"/>
      <c r="AS64" s="4218"/>
      <c r="AT64" s="4218"/>
      <c r="AU64" s="4218"/>
      <c r="AV64" s="4218"/>
      <c r="AW64" s="4218"/>
      <c r="AX64" s="4218"/>
      <c r="AY64" s="4218"/>
      <c r="AZ64" s="4218"/>
      <c r="BA64" s="4218"/>
      <c r="BB64" s="4218"/>
      <c r="BC64" s="4218"/>
      <c r="BD64" s="4218"/>
      <c r="BE64" s="4218"/>
      <c r="BF64" s="4218"/>
      <c r="BG64" s="4218"/>
      <c r="BH64" s="4218"/>
      <c r="BI64" s="4218"/>
      <c r="BJ64" s="4218"/>
      <c r="BK64" s="4218"/>
      <c r="BL64" s="4218"/>
      <c r="BM64" s="4218"/>
      <c r="BN64" s="4218"/>
      <c r="BO64" s="4218"/>
      <c r="BP64" s="4218"/>
      <c r="BQ64" s="4218"/>
      <c r="BR64" s="4218"/>
      <c r="BS64" s="4218"/>
      <c r="BT64" s="4218"/>
      <c r="BU64" s="4218"/>
      <c r="BV64" s="4218"/>
      <c r="BW64" s="4218"/>
      <c r="BX64" s="4218"/>
      <c r="BY64" s="4218"/>
      <c r="BZ64" s="4218"/>
      <c r="CA64" s="4218"/>
      <c r="CB64" s="4218"/>
      <c r="CC64" s="4218"/>
      <c r="CD64" s="4218"/>
      <c r="CE64" s="4218"/>
      <c r="CF64" s="4218"/>
      <c r="CG64" s="4218"/>
      <c r="CH64" s="4218"/>
      <c r="CI64" s="4218"/>
      <c r="CJ64" s="4218"/>
      <c r="CK64" s="4218"/>
      <c r="CL64" s="4218"/>
      <c r="CM64" s="4218"/>
      <c r="CN64" s="4218"/>
      <c r="CO64" s="4218"/>
      <c r="CP64" s="4218"/>
      <c r="CQ64" s="4218"/>
      <c r="CR64" s="4218"/>
      <c r="CS64" s="4218"/>
      <c r="CT64" s="4218"/>
      <c r="CU64" s="4218"/>
      <c r="CV64" s="4218"/>
      <c r="CW64" s="4218"/>
      <c r="CX64" s="4218"/>
      <c r="CY64" s="4218"/>
      <c r="CZ64" s="4218"/>
      <c r="DA64" s="4218"/>
      <c r="DB64" s="4218"/>
      <c r="DC64" s="4218"/>
      <c r="DD64" s="4218"/>
      <c r="DE64" s="4218"/>
      <c r="DF64" s="4218"/>
      <c r="DG64" s="4218"/>
      <c r="DH64" s="4218"/>
      <c r="DI64" s="4218"/>
      <c r="DJ64" s="4218"/>
      <c r="DK64" s="4218"/>
      <c r="DL64" s="4218"/>
      <c r="DM64" s="4218"/>
      <c r="DN64" s="4218"/>
      <c r="DO64" s="4218"/>
      <c r="DP64" s="6200"/>
      <c r="DQ64" s="1388"/>
      <c r="DR64" s="1388"/>
      <c r="DT64" s="853"/>
      <c r="DU64" s="853" t="str">
        <f>IF(T64="","",T64)</f>
        <v>Добавить централизованную систему для дифференциации</v>
      </c>
      <c r="DV64" s="853"/>
      <c r="DW64" s="853"/>
      <c r="DX64" s="582">
        <v>0</v>
      </c>
    </row>
    <row s="4976" customFormat="1" customHeight="1" ht="0">
      <c r="A65" s="1407" t="s">
        <v>252</v>
      </c>
      <c r="B65" s="1407"/>
      <c r="C65" s="1407"/>
      <c r="D65" s="1407"/>
      <c r="E65" s="2322"/>
      <c r="F65" s="1407"/>
      <c r="G65" s="1407"/>
      <c r="H65" s="1407"/>
      <c r="I65" s="1407"/>
      <c r="J65" s="1407"/>
      <c r="K65" s="1407"/>
      <c r="L65" s="1410"/>
      <c r="M65" s="1385"/>
      <c r="N65" s="1385"/>
      <c r="O65" s="582"/>
      <c r="P65" s="444"/>
      <c r="Q65" s="1408"/>
      <c r="R65" s="444"/>
      <c r="S65" s="1386"/>
      <c r="T65" s="1389" t="s">
        <v>256</v>
      </c>
      <c r="U65" s="1388"/>
      <c r="V65" s="1388"/>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4218"/>
      <c r="AS65" s="4218"/>
      <c r="AT65" s="4218"/>
      <c r="AU65" s="4218"/>
      <c r="AV65" s="4218"/>
      <c r="AW65" s="4218"/>
      <c r="AX65" s="4218"/>
      <c r="AY65" s="4218"/>
      <c r="AZ65" s="4218"/>
      <c r="BA65" s="4218"/>
      <c r="BB65" s="4218"/>
      <c r="BC65" s="4218"/>
      <c r="BD65" s="4218"/>
      <c r="BE65" s="4218"/>
      <c r="BF65" s="4218"/>
      <c r="BG65" s="4218"/>
      <c r="BH65" s="4218"/>
      <c r="BI65" s="4218"/>
      <c r="BJ65" s="4218"/>
      <c r="BK65" s="4218"/>
      <c r="BL65" s="4218"/>
      <c r="BM65" s="4218"/>
      <c r="BN65" s="4218"/>
      <c r="BO65" s="4218"/>
      <c r="BP65" s="4218"/>
      <c r="BQ65" s="4218"/>
      <c r="BR65" s="4218"/>
      <c r="BS65" s="4218"/>
      <c r="BT65" s="4218"/>
      <c r="BU65" s="4218"/>
      <c r="BV65" s="4218"/>
      <c r="BW65" s="4218"/>
      <c r="BX65" s="4218"/>
      <c r="BY65" s="4218"/>
      <c r="BZ65" s="4218"/>
      <c r="CA65" s="4218"/>
      <c r="CB65" s="4218"/>
      <c r="CC65" s="4218"/>
      <c r="CD65" s="4218"/>
      <c r="CE65" s="4218"/>
      <c r="CF65" s="4218"/>
      <c r="CG65" s="4218"/>
      <c r="CH65" s="4218"/>
      <c r="CI65" s="4218"/>
      <c r="CJ65" s="4218"/>
      <c r="CK65" s="4218"/>
      <c r="CL65" s="4218"/>
      <c r="CM65" s="4218"/>
      <c r="CN65" s="4218"/>
      <c r="CO65" s="4218"/>
      <c r="CP65" s="4218"/>
      <c r="CQ65" s="4218"/>
      <c r="CR65" s="4218"/>
      <c r="CS65" s="4218"/>
      <c r="CT65" s="4218"/>
      <c r="CU65" s="4218"/>
      <c r="CV65" s="4218"/>
      <c r="CW65" s="4218"/>
      <c r="CX65" s="4218"/>
      <c r="CY65" s="4218"/>
      <c r="CZ65" s="4218"/>
      <c r="DA65" s="4218"/>
      <c r="DB65" s="4218"/>
      <c r="DC65" s="4218"/>
      <c r="DD65" s="4218"/>
      <c r="DE65" s="4218"/>
      <c r="DF65" s="4218"/>
      <c r="DG65" s="4218"/>
      <c r="DH65" s="4218"/>
      <c r="DI65" s="4218"/>
      <c r="DJ65" s="4218"/>
      <c r="DK65" s="4218"/>
      <c r="DL65" s="4218"/>
      <c r="DM65" s="4218"/>
      <c r="DN65" s="4218"/>
      <c r="DO65" s="4218"/>
      <c r="DP65" s="6200"/>
      <c r="DQ65" s="1388"/>
      <c r="DR65" s="1388"/>
      <c r="DT65" s="564"/>
      <c r="DU65" s="564" t="str">
        <f>IF(T65="","",T65)</f>
        <v>Добавить территорию для дифференциации</v>
      </c>
      <c r="DV65" s="564"/>
      <c r="DW65" s="564"/>
      <c r="DX65" s="575">
        <v>0</v>
      </c>
    </row>
    <row s="4976" customFormat="1" customHeight="1" ht="0">
      <c r="A66" s="1378"/>
      <c r="B66" s="1378"/>
      <c r="C66" s="1378"/>
      <c r="D66" s="1378"/>
      <c r="E66" s="1407"/>
      <c r="F66" s="1378"/>
      <c r="G66" s="1378"/>
      <c r="H66" s="1378"/>
      <c r="I66" s="1378"/>
      <c r="J66" s="1378"/>
      <c r="K66" s="1378"/>
      <c r="L66" s="1558"/>
      <c r="M66" s="1385"/>
      <c r="N66" s="1385"/>
      <c r="P66" s="1380"/>
      <c r="Q66" s="1381"/>
      <c r="R66" s="1380"/>
      <c r="S66" s="1386"/>
      <c r="T66" s="1389" t="s">
        <v>257</v>
      </c>
      <c r="U66" s="1388"/>
      <c r="V66" s="1388"/>
      <c r="W66" s="1388"/>
      <c r="X66" s="1388"/>
      <c r="Y66" s="1388"/>
      <c r="Z66" s="1388"/>
      <c r="AA66" s="1388"/>
      <c r="AB66" s="1388"/>
      <c r="AC66" s="1388"/>
      <c r="AD66" s="1388"/>
      <c r="AE66" s="1388"/>
      <c r="AF66" s="1388"/>
      <c r="AG66" s="1388"/>
      <c r="AH66" s="1388"/>
      <c r="AI66" s="1388"/>
      <c r="AJ66" s="1388"/>
      <c r="AK66" s="1388"/>
      <c r="AL66" s="1388"/>
      <c r="AM66" s="1388"/>
      <c r="AN66" s="1388"/>
      <c r="AO66" s="1388"/>
      <c r="AP66" s="1388"/>
      <c r="AQ66" s="1388"/>
      <c r="AR66" s="4218"/>
      <c r="AS66" s="4218"/>
      <c r="AT66" s="4218"/>
      <c r="AU66" s="4218"/>
      <c r="AV66" s="4218"/>
      <c r="AW66" s="4218"/>
      <c r="AX66" s="4218"/>
      <c r="AY66" s="4218"/>
      <c r="AZ66" s="4218"/>
      <c r="BA66" s="4218"/>
      <c r="BB66" s="4218"/>
      <c r="BC66" s="4218"/>
      <c r="BD66" s="4218"/>
      <c r="BE66" s="4218"/>
      <c r="BF66" s="4218"/>
      <c r="BG66" s="4218"/>
      <c r="BH66" s="4218"/>
      <c r="BI66" s="4218"/>
      <c r="BJ66" s="4218"/>
      <c r="BK66" s="4218"/>
      <c r="BL66" s="4218"/>
      <c r="BM66" s="4218"/>
      <c r="BN66" s="4218"/>
      <c r="BO66" s="4218"/>
      <c r="BP66" s="4218"/>
      <c r="BQ66" s="4218"/>
      <c r="BR66" s="4218"/>
      <c r="BS66" s="4218"/>
      <c r="BT66" s="4218"/>
      <c r="BU66" s="4218"/>
      <c r="BV66" s="4218"/>
      <c r="BW66" s="4218"/>
      <c r="BX66" s="4218"/>
      <c r="BY66" s="4218"/>
      <c r="BZ66" s="4218"/>
      <c r="CA66" s="4218"/>
      <c r="CB66" s="4218"/>
      <c r="CC66" s="4218"/>
      <c r="CD66" s="4218"/>
      <c r="CE66" s="4218"/>
      <c r="CF66" s="4218"/>
      <c r="CG66" s="4218"/>
      <c r="CH66" s="4218"/>
      <c r="CI66" s="4218"/>
      <c r="CJ66" s="4218"/>
      <c r="CK66" s="4218"/>
      <c r="CL66" s="4218"/>
      <c r="CM66" s="4218"/>
      <c r="CN66" s="4218"/>
      <c r="CO66" s="4218"/>
      <c r="CP66" s="4218"/>
      <c r="CQ66" s="4218"/>
      <c r="CR66" s="4218"/>
      <c r="CS66" s="4218"/>
      <c r="CT66" s="4218"/>
      <c r="CU66" s="4218"/>
      <c r="CV66" s="4218"/>
      <c r="CW66" s="4218"/>
      <c r="CX66" s="4218"/>
      <c r="CY66" s="4218"/>
      <c r="CZ66" s="4218"/>
      <c r="DA66" s="4218"/>
      <c r="DB66" s="4218"/>
      <c r="DC66" s="4218"/>
      <c r="DD66" s="4218"/>
      <c r="DE66" s="4218"/>
      <c r="DF66" s="4218"/>
      <c r="DG66" s="4218"/>
      <c r="DH66" s="4218"/>
      <c r="DI66" s="4218"/>
      <c r="DJ66" s="4218"/>
      <c r="DK66" s="4218"/>
      <c r="DL66" s="4218"/>
      <c r="DM66" s="4218"/>
      <c r="DN66" s="4218"/>
      <c r="DO66" s="4218"/>
      <c r="DP66" s="6200"/>
      <c r="DQ66" s="1388"/>
      <c r="DR66" s="1388"/>
      <c r="DT66" s="853"/>
      <c r="DU66" s="853" t="str">
        <f>IF(T66="","",T66)</f>
        <v>Добавить наименование тарифа</v>
      </c>
      <c r="DV66" s="853"/>
      <c r="DW66" s="853"/>
      <c r="DX66" s="582">
        <v>0</v>
      </c>
    </row>
    <row customHeight="1" ht="11.549999999999999">
      <c r="M67" s="1224"/>
      <c r="N67" s="1224"/>
      <c r="O67" s="601"/>
      <c r="P67" s="1219"/>
      <c r="Q67" s="1219"/>
      <c r="R67" s="1219"/>
      <c r="S67" s="1219"/>
      <c r="AR67" s="3972"/>
      <c r="AS67" s="3972"/>
      <c r="AT67" s="3972"/>
      <c r="AU67" s="3972"/>
      <c r="AV67" s="3972"/>
      <c r="AW67" s="3972"/>
      <c r="AX67" s="3972"/>
      <c r="AY67" s="3972"/>
      <c r="AZ67" s="3972"/>
      <c r="BA67" s="3972"/>
      <c r="BB67" s="3972"/>
      <c r="BC67" s="3972"/>
      <c r="BD67" s="3972"/>
      <c r="BE67" s="3972"/>
      <c r="BF67" s="3972"/>
      <c r="BG67" s="3972"/>
      <c r="BH67" s="3972"/>
      <c r="BI67" s="3972"/>
      <c r="BJ67" s="3972"/>
      <c r="BK67" s="3972"/>
      <c r="BL67" s="3972"/>
      <c r="BM67" s="3972"/>
      <c r="BN67" s="3972"/>
      <c r="BO67" s="3972"/>
      <c r="BP67" s="3972"/>
      <c r="BQ67" s="3972"/>
      <c r="BR67" s="3972"/>
      <c r="BS67" s="3972"/>
      <c r="BT67" s="3972"/>
      <c r="BU67" s="3972"/>
      <c r="BV67" s="3972"/>
      <c r="BW67" s="3972"/>
      <c r="BX67" s="3972"/>
      <c r="BY67" s="3972"/>
      <c r="BZ67" s="3972"/>
      <c r="CA67" s="3972"/>
      <c r="CB67" s="3972"/>
      <c r="CC67" s="3972"/>
      <c r="CD67" s="3972"/>
      <c r="CE67" s="3972"/>
      <c r="CF67" s="3972"/>
      <c r="CG67" s="3972"/>
      <c r="CH67" s="3972"/>
      <c r="CI67" s="3972"/>
      <c r="CJ67" s="3972"/>
      <c r="CK67" s="3972"/>
      <c r="CL67" s="3972"/>
      <c r="CM67" s="3972"/>
      <c r="CN67" s="3972"/>
      <c r="CO67" s="3972"/>
      <c r="CP67" s="3972"/>
      <c r="CQ67" s="3972"/>
      <c r="CR67" s="3972"/>
      <c r="CS67" s="3972"/>
      <c r="CT67" s="3972"/>
      <c r="CU67" s="3972"/>
      <c r="CV67" s="3972"/>
      <c r="CW67" s="3972"/>
      <c r="CX67" s="3972"/>
      <c r="CY67" s="3972"/>
      <c r="CZ67" s="3972"/>
      <c r="DA67" s="3972"/>
      <c r="DB67" s="3972"/>
      <c r="DC67" s="3972"/>
      <c r="DD67" s="3972"/>
      <c r="DE67" s="3972"/>
      <c r="DF67" s="3972"/>
      <c r="DG67" s="3972"/>
      <c r="DH67" s="3972"/>
      <c r="DI67" s="3972"/>
      <c r="DJ67" s="3972"/>
      <c r="DK67" s="3972"/>
      <c r="DL67" s="3972"/>
      <c r="DM67" s="3972"/>
      <c r="DN67" s="3972"/>
      <c r="DO67" s="3972"/>
      <c r="DP67" s="6192"/>
      <c r="DS67" s="1219"/>
      <c r="DT67" s="1219"/>
      <c r="DU67" s="1219"/>
      <c r="DV67" s="1219"/>
      <c r="DW67" s="1219"/>
      <c r="DX67" s="1219">
        <v>11</v>
      </c>
    </row>
    <row customHeight="1" ht="14.699999999999998">
      <c r="O68" s="601"/>
      <c r="S68" s="1317"/>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4829"/>
      <c r="AS68" s="4829"/>
      <c r="AT68" s="4829"/>
      <c r="AU68" s="4829"/>
      <c r="AV68" s="4829"/>
      <c r="AW68" s="4829"/>
      <c r="AX68" s="4829"/>
      <c r="AY68" s="4829"/>
      <c r="AZ68" s="4829"/>
      <c r="BA68" s="4829"/>
      <c r="BB68" s="4829"/>
      <c r="BC68" s="4829"/>
      <c r="BD68" s="4829"/>
      <c r="BE68" s="4829"/>
      <c r="BF68" s="4829"/>
      <c r="BG68" s="4829"/>
      <c r="BH68" s="4829"/>
      <c r="BI68" s="4829"/>
      <c r="BJ68" s="4829"/>
      <c r="BK68" s="4829"/>
      <c r="BL68" s="4829"/>
      <c r="BM68" s="4829"/>
      <c r="BN68" s="4829"/>
      <c r="BO68" s="4829"/>
      <c r="BP68" s="4829"/>
      <c r="BQ68" s="4829"/>
      <c r="BR68" s="4829"/>
      <c r="BS68" s="4829"/>
      <c r="BT68" s="4829"/>
      <c r="BU68" s="4829"/>
      <c r="BV68" s="4829"/>
      <c r="BW68" s="4829"/>
      <c r="BX68" s="4829"/>
      <c r="BY68" s="4829"/>
      <c r="BZ68" s="4829"/>
      <c r="CA68" s="4829"/>
      <c r="CB68" s="4829"/>
      <c r="CC68" s="4829"/>
      <c r="CD68" s="4829"/>
      <c r="CE68" s="4829"/>
      <c r="CF68" s="4829"/>
      <c r="CG68" s="4829"/>
      <c r="CH68" s="4829"/>
      <c r="CI68" s="4829"/>
      <c r="CJ68" s="4829"/>
      <c r="CK68" s="4829"/>
      <c r="CL68" s="4829"/>
      <c r="CM68" s="4829"/>
      <c r="CN68" s="4829"/>
      <c r="CO68" s="4829"/>
      <c r="CP68" s="4829"/>
      <c r="CQ68" s="4829"/>
      <c r="CR68" s="4829"/>
      <c r="CS68" s="4829"/>
      <c r="CT68" s="4829"/>
      <c r="CU68" s="4829"/>
      <c r="CV68" s="4829"/>
      <c r="CW68" s="4829"/>
      <c r="CX68" s="4829"/>
      <c r="CY68" s="4829"/>
      <c r="CZ68" s="4829"/>
      <c r="DA68" s="4829"/>
      <c r="DB68" s="4829"/>
      <c r="DC68" s="4829"/>
      <c r="DD68" s="4829"/>
      <c r="DE68" s="4829"/>
      <c r="DF68" s="4829"/>
      <c r="DG68" s="4829"/>
      <c r="DH68" s="4829"/>
      <c r="DI68" s="4829"/>
      <c r="DJ68" s="4829"/>
      <c r="DK68" s="4829"/>
      <c r="DL68" s="4829"/>
      <c r="DM68" s="4829"/>
      <c r="DN68" s="4829"/>
      <c r="DO68" s="4829"/>
      <c r="DP68" s="6219"/>
      <c r="DQ68" s="2349"/>
      <c r="DR68" s="2349"/>
      <c r="DX68" s="1219">
        <v>14</v>
      </c>
    </row>
    <row customHeight="1" ht="14.699999999999998">
      <c r="O69" s="601"/>
      <c r="AR69" s="3972"/>
      <c r="AS69" s="3972"/>
      <c r="AT69" s="3972"/>
      <c r="AU69" s="3972"/>
      <c r="AV69" s="3972"/>
      <c r="AW69" s="3972"/>
      <c r="AX69" s="3972"/>
      <c r="AY69" s="3972"/>
      <c r="AZ69" s="3972"/>
      <c r="BA69" s="3972"/>
      <c r="BB69" s="3972"/>
      <c r="BC69" s="3972"/>
      <c r="BD69" s="3972"/>
      <c r="BE69" s="3972"/>
      <c r="BF69" s="3972"/>
      <c r="BG69" s="3972"/>
      <c r="BH69" s="3972"/>
      <c r="BI69" s="3972"/>
      <c r="BJ69" s="3972"/>
      <c r="BK69" s="3972"/>
      <c r="BL69" s="3972"/>
      <c r="BM69" s="3972"/>
      <c r="BN69" s="3972"/>
      <c r="BO69" s="3972"/>
      <c r="BP69" s="3972"/>
      <c r="BQ69" s="3972"/>
      <c r="BR69" s="3972"/>
      <c r="BS69" s="3972"/>
      <c r="BT69" s="3972"/>
      <c r="BU69" s="3972"/>
      <c r="BV69" s="3972"/>
      <c r="BW69" s="3972"/>
      <c r="BX69" s="3972"/>
      <c r="BY69" s="3972"/>
      <c r="BZ69" s="3972"/>
      <c r="CA69" s="3972"/>
      <c r="CB69" s="3972"/>
      <c r="CC69" s="3972"/>
      <c r="CD69" s="3972"/>
      <c r="CE69" s="3972"/>
      <c r="CF69" s="3972"/>
      <c r="CG69" s="3972"/>
      <c r="CH69" s="3972"/>
      <c r="CI69" s="3972"/>
      <c r="CJ69" s="3972"/>
      <c r="CK69" s="3972"/>
      <c r="CL69" s="3972"/>
      <c r="CM69" s="3972"/>
      <c r="CN69" s="3972"/>
      <c r="CO69" s="3972"/>
      <c r="CP69" s="3972"/>
      <c r="CQ69" s="3972"/>
      <c r="CR69" s="3972"/>
      <c r="CS69" s="3972"/>
      <c r="CT69" s="3972"/>
      <c r="CU69" s="3972"/>
      <c r="CV69" s="3972"/>
      <c r="CW69" s="3972"/>
      <c r="CX69" s="3972"/>
      <c r="CY69" s="3972"/>
      <c r="CZ69" s="3972"/>
      <c r="DA69" s="3972"/>
      <c r="DB69" s="3972"/>
      <c r="DC69" s="3972"/>
      <c r="DD69" s="3972"/>
      <c r="DE69" s="3972"/>
      <c r="DF69" s="3972"/>
      <c r="DG69" s="3972"/>
      <c r="DH69" s="3972"/>
      <c r="DI69" s="3972"/>
      <c r="DJ69" s="3972"/>
      <c r="DK69" s="3972"/>
      <c r="DL69" s="3972"/>
      <c r="DM69" s="3972"/>
      <c r="DN69" s="3972"/>
      <c r="DO69" s="3972"/>
      <c r="DP69" s="6192"/>
      <c r="DX69" s="1219">
        <v>14</v>
      </c>
    </row>
    <row customHeight="1" ht="14.699999999999998">
      <c r="O70" s="601"/>
      <c r="S70" s="1317"/>
      <c r="T70" s="2349"/>
      <c r="U70" s="2349"/>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R70" s="4829"/>
      <c r="AS70" s="4829"/>
      <c r="AT70" s="4829"/>
      <c r="AU70" s="4829"/>
      <c r="AV70" s="4829"/>
      <c r="AW70" s="4829"/>
      <c r="AX70" s="4829"/>
      <c r="AY70" s="4829"/>
      <c r="AZ70" s="4829"/>
      <c r="BA70" s="4829"/>
      <c r="BB70" s="4829"/>
      <c r="BC70" s="4829"/>
      <c r="BD70" s="4829"/>
      <c r="BE70" s="4829"/>
      <c r="BF70" s="4829"/>
      <c r="BG70" s="4829"/>
      <c r="BH70" s="4829"/>
      <c r="BI70" s="4829"/>
      <c r="BJ70" s="4829"/>
      <c r="BK70" s="4829"/>
      <c r="BL70" s="4829"/>
      <c r="BM70" s="4829"/>
      <c r="BN70" s="4829"/>
      <c r="BO70" s="4829"/>
      <c r="BP70" s="4829"/>
      <c r="BQ70" s="4829"/>
      <c r="BR70" s="4829"/>
      <c r="BS70" s="4829"/>
      <c r="BT70" s="4829"/>
      <c r="BU70" s="4829"/>
      <c r="BV70" s="4829"/>
      <c r="BW70" s="4829"/>
      <c r="BX70" s="4829"/>
      <c r="BY70" s="4829"/>
      <c r="BZ70" s="4829"/>
      <c r="CA70" s="4829"/>
      <c r="CB70" s="4829"/>
      <c r="CC70" s="4829"/>
      <c r="CD70" s="4829"/>
      <c r="CE70" s="4829"/>
      <c r="CF70" s="4829"/>
      <c r="CG70" s="4829"/>
      <c r="CH70" s="4829"/>
      <c r="CI70" s="4829"/>
      <c r="CJ70" s="4829"/>
      <c r="CK70" s="4829"/>
      <c r="CL70" s="4829"/>
      <c r="CM70" s="4829"/>
      <c r="CN70" s="4829"/>
      <c r="CO70" s="4829"/>
      <c r="CP70" s="4829"/>
      <c r="CQ70" s="4829"/>
      <c r="CR70" s="4829"/>
      <c r="CS70" s="4829"/>
      <c r="CT70" s="4829"/>
      <c r="CU70" s="4829"/>
      <c r="CV70" s="4829"/>
      <c r="CW70" s="4829"/>
      <c r="CX70" s="4829"/>
      <c r="CY70" s="4829"/>
      <c r="CZ70" s="4829"/>
      <c r="DA70" s="4829"/>
      <c r="DB70" s="4829"/>
      <c r="DC70" s="4829"/>
      <c r="DD70" s="4829"/>
      <c r="DE70" s="4829"/>
      <c r="DF70" s="4829"/>
      <c r="DG70" s="4829"/>
      <c r="DH70" s="4829"/>
      <c r="DI70" s="4829"/>
      <c r="DJ70" s="4829"/>
      <c r="DK70" s="4829"/>
      <c r="DL70" s="4829"/>
      <c r="DM70" s="4829"/>
      <c r="DN70" s="4829"/>
      <c r="DO70" s="4829"/>
      <c r="DP70" s="6219"/>
      <c r="DQ70" s="2349"/>
      <c r="DR70" s="2349"/>
      <c r="DX70" s="1219">
        <v>14</v>
      </c>
    </row>
    <row customHeight="1" ht="22.5" hidden="1">
      <c r="A71" s="1224" t="s">
        <v>83</v>
      </c>
      <c r="B71" s="1224">
        <v>0</v>
      </c>
      <c r="C71" s="1224">
        <v>0</v>
      </c>
      <c r="D71" s="1224">
        <v>0</v>
      </c>
      <c r="E71" s="1224">
        <v>0</v>
      </c>
      <c r="F71" s="1224">
        <v>0</v>
      </c>
      <c r="G71" s="1224">
        <v>0</v>
      </c>
      <c r="H71" s="1224">
        <v>0</v>
      </c>
      <c r="I71" s="1224">
        <v>0</v>
      </c>
      <c r="J71" s="1224">
        <v>0</v>
      </c>
      <c r="K71" s="1224">
        <v>0</v>
      </c>
      <c r="L71" s="1542">
        <v>0</v>
      </c>
      <c r="M71" s="1426">
        <v>0</v>
      </c>
      <c r="N71" s="1426">
        <v>0</v>
      </c>
      <c r="O71" s="1426">
        <v>0</v>
      </c>
      <c r="P71" s="1537">
        <v>3</v>
      </c>
      <c r="Q71" s="408">
        <v>3</v>
      </c>
      <c r="R71" s="408">
        <v>3</v>
      </c>
      <c r="S71" s="645">
        <v>12</v>
      </c>
      <c r="T71" s="1219">
        <v>35</v>
      </c>
      <c r="U71" s="1219">
        <v>0</v>
      </c>
      <c r="V71" s="1219">
        <v>0</v>
      </c>
      <c r="W71" s="1695">
        <v>0</v>
      </c>
      <c r="X71" s="1695">
        <v>0</v>
      </c>
      <c r="Y71" s="1695">
        <v>0</v>
      </c>
      <c r="Z71" s="1695">
        <v>0</v>
      </c>
      <c r="AA71" s="1695">
        <v>0</v>
      </c>
      <c r="AB71" s="1695">
        <v>0</v>
      </c>
      <c r="AC71" s="1219">
        <v>0</v>
      </c>
      <c r="AD71" s="1219">
        <v>0</v>
      </c>
      <c r="AE71" s="1219">
        <v>0</v>
      </c>
      <c r="AF71" s="1219">
        <v>0</v>
      </c>
      <c r="AG71" s="1219">
        <v>19</v>
      </c>
      <c r="AH71" s="1695">
        <v>19</v>
      </c>
      <c r="AI71" s="1695">
        <v>19</v>
      </c>
      <c r="AJ71" s="1695">
        <v>19</v>
      </c>
      <c r="AK71" s="1695">
        <v>19</v>
      </c>
      <c r="AL71" s="1695">
        <v>19</v>
      </c>
      <c r="AM71" s="1219">
        <v>19</v>
      </c>
      <c r="AN71" s="1219">
        <v>11</v>
      </c>
      <c r="AO71" s="1219">
        <v>3</v>
      </c>
      <c r="AP71" s="1219">
        <v>11</v>
      </c>
      <c r="AQ71" s="1219">
        <v>0</v>
      </c>
      <c r="AR71" s="3972">
        <v>0</v>
      </c>
      <c r="AS71" s="3972">
        <v>0</v>
      </c>
      <c r="AT71" s="3972">
        <v>0</v>
      </c>
      <c r="AU71" s="3972">
        <v>0</v>
      </c>
      <c r="AV71" s="3972">
        <v>0</v>
      </c>
      <c r="AW71" s="3972">
        <v>0</v>
      </c>
      <c r="AX71" s="3972">
        <v>0</v>
      </c>
      <c r="AY71" s="3972">
        <v>0</v>
      </c>
      <c r="AZ71" s="3972">
        <v>0</v>
      </c>
      <c r="BA71" s="3972">
        <v>0</v>
      </c>
      <c r="BB71" s="3972">
        <v>0</v>
      </c>
      <c r="BC71" s="3972">
        <v>0</v>
      </c>
      <c r="BD71" s="3972">
        <v>0</v>
      </c>
      <c r="BE71" s="3972">
        <v>0</v>
      </c>
      <c r="BF71" s="3972">
        <v>0</v>
      </c>
      <c r="BG71" s="3972">
        <v>0</v>
      </c>
      <c r="BH71" s="3972">
        <v>0</v>
      </c>
      <c r="BI71" s="3972">
        <v>0</v>
      </c>
      <c r="BJ71" s="3972">
        <v>0</v>
      </c>
      <c r="BK71" s="3972">
        <v>0</v>
      </c>
      <c r="BL71" s="3972">
        <v>0</v>
      </c>
      <c r="BM71" s="3972">
        <v>0</v>
      </c>
      <c r="BN71" s="3972">
        <v>0</v>
      </c>
      <c r="BO71" s="3972">
        <v>0</v>
      </c>
      <c r="BP71" s="3972">
        <v>0</v>
      </c>
      <c r="BQ71" s="3972">
        <v>0</v>
      </c>
      <c r="BR71" s="3972">
        <v>0</v>
      </c>
      <c r="BS71" s="3972">
        <v>0</v>
      </c>
      <c r="BT71" s="3972">
        <v>0</v>
      </c>
      <c r="BU71" s="3972">
        <v>0</v>
      </c>
      <c r="BV71" s="3972">
        <v>0</v>
      </c>
      <c r="BW71" s="3972">
        <v>0</v>
      </c>
      <c r="BX71" s="3972">
        <v>0</v>
      </c>
      <c r="BY71" s="3972">
        <v>0</v>
      </c>
      <c r="BZ71" s="3972">
        <v>0</v>
      </c>
      <c r="CA71" s="3972">
        <v>0</v>
      </c>
      <c r="CB71" s="3972">
        <v>0</v>
      </c>
      <c r="CC71" s="3972">
        <v>0</v>
      </c>
      <c r="CD71" s="3972">
        <v>0</v>
      </c>
      <c r="CE71" s="3972">
        <v>0</v>
      </c>
      <c r="CF71" s="3972">
        <v>0</v>
      </c>
      <c r="CG71" s="3972">
        <v>0</v>
      </c>
      <c r="CH71" s="3972">
        <v>0</v>
      </c>
      <c r="CI71" s="3972">
        <v>0</v>
      </c>
      <c r="CJ71" s="3972">
        <v>0</v>
      </c>
      <c r="CK71" s="3972">
        <v>0</v>
      </c>
      <c r="CL71" s="3972">
        <v>0</v>
      </c>
      <c r="CM71" s="3972">
        <v>0</v>
      </c>
      <c r="CN71" s="3972">
        <v>0</v>
      </c>
      <c r="CO71" s="3972">
        <v>0</v>
      </c>
      <c r="CP71" s="3972">
        <v>0</v>
      </c>
      <c r="CQ71" s="3972">
        <v>0</v>
      </c>
      <c r="CR71" s="3972">
        <v>0</v>
      </c>
      <c r="CS71" s="3972">
        <v>0</v>
      </c>
      <c r="CT71" s="3972">
        <v>0</v>
      </c>
      <c r="CU71" s="3972">
        <v>0</v>
      </c>
      <c r="CV71" s="3972">
        <v>0</v>
      </c>
      <c r="CW71" s="3972">
        <v>0</v>
      </c>
      <c r="CX71" s="3972">
        <v>0</v>
      </c>
      <c r="CY71" s="3972">
        <v>0</v>
      </c>
      <c r="CZ71" s="3972">
        <v>0</v>
      </c>
      <c r="DA71" s="3972">
        <v>0</v>
      </c>
      <c r="DB71" s="3972">
        <v>0</v>
      </c>
      <c r="DC71" s="3972">
        <v>0</v>
      </c>
      <c r="DD71" s="3972">
        <v>0</v>
      </c>
      <c r="DE71" s="3972">
        <v>0</v>
      </c>
      <c r="DF71" s="3972">
        <v>0</v>
      </c>
      <c r="DG71" s="3972">
        <v>0</v>
      </c>
      <c r="DH71" s="3972">
        <v>0</v>
      </c>
      <c r="DI71" s="3972">
        <v>0</v>
      </c>
      <c r="DJ71" s="3972">
        <v>0</v>
      </c>
      <c r="DK71" s="3972">
        <v>0</v>
      </c>
      <c r="DL71" s="3972">
        <v>0</v>
      </c>
      <c r="DM71" s="3972">
        <v>0</v>
      </c>
      <c r="DN71" s="3972">
        <v>0</v>
      </c>
      <c r="DO71" s="3972">
        <v>0</v>
      </c>
      <c r="DP71" s="6192">
        <v>0</v>
      </c>
      <c r="DQ71" s="1219">
        <v>4</v>
      </c>
      <c r="DR71" s="1219">
        <v>115</v>
      </c>
      <c r="DS71" s="575">
        <v>10</v>
      </c>
      <c r="DT71" s="575">
        <v>10</v>
      </c>
      <c r="DU71" s="575">
        <v>10</v>
      </c>
      <c r="DV71" s="575">
        <v>10</v>
      </c>
      <c r="DW71" s="575">
        <v>10</v>
      </c>
      <c r="DX71" s="1219">
        <v>23</v>
      </c>
    </row>
  </sheetData>
  <sheetProtection formatColumns="0" formatRows="0" autoFilter="0" sort="0" insertRows="0" insertColumns="1" deleteRows="0" deleteColumns="0"/>
  <mergeCells count="428">
    <mergeCell ref="DR47:DR48"/>
    <mergeCell ref="T68:DR68"/>
    <mergeCell ref="T70:DR70"/>
    <mergeCell ref="K47:K48"/>
    <mergeCell ref="AN47:AN48"/>
    <mergeCell ref="V38:V40"/>
    <mergeCell ref="AD41:AE41"/>
    <mergeCell ref="AO41:AP41"/>
    <mergeCell ref="E42:E65"/>
    <mergeCell ref="V42:AF42"/>
    <mergeCell ref="AG42:DQ42"/>
    <mergeCell ref="F43:F64"/>
    <mergeCell ref="V43:AF43"/>
    <mergeCell ref="AG43:DQ43"/>
    <mergeCell ref="G44:G63"/>
    <mergeCell ref="V44:AF44"/>
    <mergeCell ref="AG44:DQ44"/>
    <mergeCell ref="H45:H63"/>
    <mergeCell ref="I45:I62"/>
    <mergeCell ref="P45:P62"/>
    <mergeCell ref="V45:AF45"/>
    <mergeCell ref="AG45:DQ45"/>
    <mergeCell ref="J46:J49"/>
    <mergeCell ref="Q46:Q49"/>
    <mergeCell ref="V46:AF46"/>
    <mergeCell ref="AG46:DQ46"/>
    <mergeCell ref="AO47:AO48"/>
    <mergeCell ref="AP47:AP48"/>
    <mergeCell ref="AQ47:AQ48"/>
    <mergeCell ref="V28:AE28"/>
    <mergeCell ref="AG28:AP28"/>
    <mergeCell ref="DR36:DR40"/>
    <mergeCell ref="S37:S40"/>
    <mergeCell ref="T37:T40"/>
    <mergeCell ref="V37:AE37"/>
    <mergeCell ref="AF37:AF40"/>
    <mergeCell ref="AG37:AP37"/>
    <mergeCell ref="AQ37:AQ40"/>
    <mergeCell ref="S32:T32"/>
    <mergeCell ref="V32:AE32"/>
    <mergeCell ref="AG32:AP32"/>
    <mergeCell ref="S33:T33"/>
    <mergeCell ref="V33:AE33"/>
    <mergeCell ref="AG33:AP33"/>
    <mergeCell ref="DQ37:DQ40"/>
    <mergeCell ref="AD40:AE40"/>
    <mergeCell ref="AO40:AP40"/>
    <mergeCell ref="V35:AF35"/>
    <mergeCell ref="AG35:AQ35"/>
    <mergeCell ref="S36:DQ36"/>
    <mergeCell ref="AN38:AP39"/>
    <mergeCell ref="AC38:AE39"/>
    <mergeCell ref="AL39:AM39"/>
    <mergeCell ref="S29:T29"/>
    <mergeCell ref="AG38:AG40"/>
    <mergeCell ref="DR7:DR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DQ2"/>
    <mergeCell ref="F3:F12"/>
    <mergeCell ref="V3:AF3"/>
    <mergeCell ref="AG3:DQ3"/>
    <mergeCell ref="G4:G11"/>
    <mergeCell ref="V4:AF4"/>
    <mergeCell ref="AG4:DQ4"/>
    <mergeCell ref="H5:H11"/>
    <mergeCell ref="I5:I10"/>
    <mergeCell ref="P5:P10"/>
    <mergeCell ref="V5:AF5"/>
    <mergeCell ref="AG5:DQ5"/>
    <mergeCell ref="J6:J9"/>
    <mergeCell ref="Q6:Q9"/>
    <mergeCell ref="V6:AF6"/>
    <mergeCell ref="AG6:DQ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DR51:DR52"/>
    <mergeCell ref="AN51:AN52"/>
    <mergeCell ref="AO51:AO52"/>
    <mergeCell ref="AP51:AP52"/>
    <mergeCell ref="J50:J53"/>
    <mergeCell ref="Q50:Q53"/>
    <mergeCell ref="V50:AF50"/>
    <mergeCell ref="AG50:DQ50"/>
    <mergeCell ref="K51:K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1:BJ52"/>
    <mergeCell ref="BK51:BK52"/>
    <mergeCell ref="BL51:BL52"/>
    <mergeCell ref="BM51:BM5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R55:DR56"/>
    <mergeCell ref="AN55:AN56"/>
    <mergeCell ref="AO55:AO56"/>
    <mergeCell ref="AP55:AP56"/>
    <mergeCell ref="J54:J57"/>
    <mergeCell ref="Q54:Q57"/>
    <mergeCell ref="V54:AF54"/>
    <mergeCell ref="AG54:DQ54"/>
    <mergeCell ref="K55:K56"/>
    <mergeCell ref="AQ55:AQ56"/>
    <mergeCell ref="AY55:AY56"/>
    <mergeCell ref="AZ55:AZ56"/>
    <mergeCell ref="BA55:BA56"/>
    <mergeCell ref="BB55:BB56"/>
    <mergeCell ref="BJ55:BJ56"/>
    <mergeCell ref="BK55:BK56"/>
    <mergeCell ref="BL55:BL56"/>
    <mergeCell ref="BM55:BM56"/>
    <mergeCell ref="BU55:BU56"/>
    <mergeCell ref="BV55:BV56"/>
    <mergeCell ref="BW55:BW56"/>
    <mergeCell ref="BX55:BX56"/>
    <mergeCell ref="CF55:CF56"/>
    <mergeCell ref="CG55:CG56"/>
    <mergeCell ref="CH55:CH56"/>
    <mergeCell ref="CI55:CI56"/>
    <mergeCell ref="CQ55:CQ56"/>
    <mergeCell ref="CR55:CR56"/>
    <mergeCell ref="CS55:CS56"/>
    <mergeCell ref="CT55:CT56"/>
    <mergeCell ref="DR59:DR60"/>
    <mergeCell ref="AN59:AN60"/>
    <mergeCell ref="AO59:AO60"/>
    <mergeCell ref="AP59:AP60"/>
    <mergeCell ref="J58:J61"/>
    <mergeCell ref="Q58:Q61"/>
    <mergeCell ref="V58:AF58"/>
    <mergeCell ref="AG58:DQ58"/>
    <mergeCell ref="K59:K60"/>
    <mergeCell ref="AQ59:AQ60"/>
    <mergeCell ref="AY59:AY60"/>
    <mergeCell ref="AZ59:AZ60"/>
    <mergeCell ref="BA59:BA60"/>
    <mergeCell ref="BB59:BB60"/>
    <mergeCell ref="BJ59:BJ60"/>
    <mergeCell ref="BK59:BK60"/>
    <mergeCell ref="BL59:BL60"/>
    <mergeCell ref="BM59:BM60"/>
    <mergeCell ref="BU59:BU60"/>
    <mergeCell ref="BV59:BV60"/>
    <mergeCell ref="BW59:BW60"/>
    <mergeCell ref="BX59:BX60"/>
    <mergeCell ref="CF59:CF60"/>
    <mergeCell ref="CG59:CG60"/>
    <mergeCell ref="CH59:CH60"/>
    <mergeCell ref="CI59:CI60"/>
    <mergeCell ref="CQ59:CQ60"/>
    <mergeCell ref="CR59:CR60"/>
    <mergeCell ref="CS59:CS60"/>
    <mergeCell ref="CT59:CT60"/>
    <mergeCell ref="DB47:DB48"/>
    <mergeCell ref="DC47:DC48"/>
    <mergeCell ref="DD47:DD48"/>
    <mergeCell ref="DE47:DE48"/>
    <mergeCell ref="DM47:DM48"/>
    <mergeCell ref="DN47:DN48"/>
    <mergeCell ref="DO47:DO48"/>
    <mergeCell ref="DP47:DP48"/>
    <mergeCell ref="AC47:AC48"/>
    <mergeCell ref="AD47:AD48"/>
    <mergeCell ref="AE47:AE48"/>
    <mergeCell ref="AF47:AF48"/>
    <mergeCell ref="DB51:DB52"/>
    <mergeCell ref="DC51:DC52"/>
    <mergeCell ref="DD51:DD52"/>
    <mergeCell ref="DE51:DE52"/>
    <mergeCell ref="DM51:DM52"/>
    <mergeCell ref="DN51:DN52"/>
    <mergeCell ref="DO51:DO52"/>
    <mergeCell ref="DP51:DP52"/>
    <mergeCell ref="AC51:AC52"/>
    <mergeCell ref="AD51:AD52"/>
    <mergeCell ref="AE51:AE52"/>
    <mergeCell ref="AF51:AF52"/>
    <mergeCell ref="DB55:DB56"/>
    <mergeCell ref="DC55:DC56"/>
    <mergeCell ref="DD55:DD56"/>
    <mergeCell ref="DE55:DE56"/>
    <mergeCell ref="DM55:DM56"/>
    <mergeCell ref="DN55:DN56"/>
    <mergeCell ref="DO55:DO56"/>
    <mergeCell ref="DP55:DP56"/>
    <mergeCell ref="AC55:AC56"/>
    <mergeCell ref="AD55:AD56"/>
    <mergeCell ref="AE55:AE56"/>
    <mergeCell ref="AF55:AF56"/>
    <mergeCell ref="DB59:DB60"/>
    <mergeCell ref="DC59:DC60"/>
    <mergeCell ref="DD59:DD60"/>
    <mergeCell ref="DE59:DE60"/>
    <mergeCell ref="DM59:DM60"/>
    <mergeCell ref="DN59:DN60"/>
    <mergeCell ref="DO59:DO60"/>
    <mergeCell ref="DP59:DP60"/>
    <mergeCell ref="AC59:AC60"/>
    <mergeCell ref="AD59:AD60"/>
    <mergeCell ref="AE59:AE60"/>
    <mergeCell ref="AF59:AF60"/>
  </mergeCells>
  <dataValidations count="7">
    <dataValidation allowBlank="1" showInputMessage="1" showErrorMessage="1" prompt="Для выбора выполните двойной щелчок левой клавиши мыши по соответствующей ячейке." sqref="AD65591 AD131127 AD196663 AD262199 AD327735 AD393271 AD458807 AD524343 AD589879 AD655415 AD720951 AD786487 AD852023 AD917559 AD983095 AF131127 AF458807 AF196663 AF262199 AF327735 AF393271 AF524343 AF589879 AF655415 AF720951 AF786487 AF852023 AF917559 AF983095 AF65591 AO65591 AO131127 AO196663 AO262199 AO327735 AO393271 AO458807 AO524343 AO589879 AO655415 AO720951 AO786487 AO852023 AO917559 AO983095 AQ524343:DP524343 AQ196663:DP196663 AQ589879:DP589879 AQ655415:DP655415 AQ15 AQ720951:DP720951 AQ786487:DP786487 AQ852023:DP852023 AQ917559:DP917559 AQ983095:DP983095 AQ65591:DP65591 AQ131127:DP131127 AQ458807:DP458807 AQ262199:DP262199 AQ7 AZ7 BB7 BK7 BM7 BV7 BX7 CG7 CI7 CR7 CT7 DC7 DE7 DN7 DP7 AO47 AQ327735:DP327735 AO15 AO7 AD7 AF7 AQ393271:DP393271 AQ47 AZ47 BB47 BK47 BM47 BV47 BX47 CG47 CI47 CR47 CT47 DC47 DE47 DN47 DP47 AD47 AF47 AD51 AF51 AO51 AQ51 AZ51 BB51 BK51 BM51 BV51 BX51 CG51 CI51 CR51 CT51 DC51 DE51 DN51 DP51 AD55 AF55 AO55 AQ55 AZ55 BB55 BK55 BM55 BV55 BX55 CG55 CI55 CR55 CT55 DC55 DE55 DN55 DP55 AD59 AF59 AO59 AQ59 AZ59 BB59 BK59 BM59 BV59 BX59 CG59 CI59 CR59 CT59 DC59 DE59 DN59 DP5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1 AC131127 AC196663 AC262199 AC327735 AC393271 AC458807 AC524343 AC589879 AC655415 AC720951 AC786487 AC852023 AC917559 AC983095 AE65591 AE131127 AE196663 AE262199 AE327735 AE393271 AE458807 AE524343 AE589879 AE655415 AE720951 AE786487 AE852023 AE917559 AE983095 AN15 AN65591 AN131127 AN196663 AN262199 AN327735 AN393271 AN458807 AN524343 AN589879 AN655415 AN720951 AN786487 AN852023 AN917559 AN983095 AP65591 AP131127 AP196663 AP262199 AP327735 AP393271 AP458807 AP524343 AP589879 AP655415 AP720951 AP786487 AP852023 AP917559 AP983095 AP47 AN47 AP15 AP7 AN7 AC7 AE7 AC47 AE47 AC51 AE51 AN51 AP51 AY7 BA7 AY47 BA47 AY51 BA51 BJ7 BL7 BJ47 BL47 BJ51 BL51 BU7 BW7 BU47 BW47 BU51 BW51 CF7 CH7 CF47 CH47 CF51 CH51 CQ7 CS7 CQ47 CS47 CQ51 CS51 DB7 DD7 DB47 DD47 DB51 DD51 DM7 DO7 DM47 DO47 DM51 DO51 AC55 AE55 AN55 AP55 AY55 BA55 BJ55 BL55 BU55 BW55 CF55 CH55 CQ55 CS55 DB55 DD55 DM55 DO55 AC59 AE59 AN59 AP59 AY59 BA59 BJ59 BL59 BU59 BW59 CF59 CH59 CQ59 CS59 DB59 DD59 DM59 DO59"/>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DR65585:DR65592 DR131121:DR131128 DR196657:DR196664 DR262193:DR262200 DR327729:DR327736 DR393265:DR393272 DR458801:DR458808 DR524337:DR524344 DR589873:DR589880 DR655409:DR655416 DR720945:DR720952 DR786481:DR786488 DR852017:DR852024 DR917553:DR917560 DR983089:DR983096 T47 T7 AG45:AQ45 DQ45 AG5:AQ5 DQ5 T51 T55 T59">
      <formula1>900</formula1>
    </dataValidation>
    <dataValidation type="list" allowBlank="1" showInputMessage="1" showErrorMessage="1" errorTitle="Ошибка" error="Выберите значение из списка" sqref="AG917557:AL917557 AG852021:AL852021 AG786485:AL786485 AG720949:AL720949 AG655413:AL655413 AG589877:AL589877 AG524341:AL524341 AG458805:AL458805 AG393269:AL393269 AG327733:AL327733 AG262197:AL262197 AG196661:AL196661 AG131125:AL131125 AG65589:AL65589 AG983093:AL983093 V983093:AB983093 V65589:AB65589 V131125:AB131125 V196661:AB196661 V262197:AB262197 V327733:AB327733 V393269:AB393269 V458805:AB458805 V524341:AB524341 V589877:AB589877 V655413:AB655413 V720949:AB720949 V786485:AB786485 V852021:AB852021 V917557:AB917557">
      <formula1>kind_of_scheme_in</formula1>
    </dataValidation>
    <dataValidation type="list" allowBlank="1" showInputMessage="1" errorTitle="Ошибка" error="Выберите значение из списка" prompt="Выберите значение из списка" sqref="V983094:DQ983094 V65590:DQ65590 V131126:DQ131126 V196662:DQ196662 V262198:DQ262198 V327734:DQ327734 V393270:DQ393270 V458806:DQ458806 V524342:DQ524342 V589878:DQ589878 V655414:DQ655414 V720950:DQ720950 V786486:DQ786486 V852022:DQ852022 V917558:DQ917558">
      <formula1>kind_of_cons</formula1>
    </dataValidation>
    <dataValidation allowBlank="1" sqref="S131129:DR131135 S196665:DR196671 S262201:DR262207 S327737:DR327743 S393273:DR393279 S458809:DR458815 S524345:DR524351 S589881:DR589887 S655417:DR655423 S720953:DR720959 S786489:DR786495 S852025:DR852031 S917561:DR917567 S983097:DR983103 S65593:DR6559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80EBA-AD94-9FA2-CD6B-0.784463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4.140625" hidden="1" customWidth="1"/>
    <col min="10" max="10" style="5416" width="9.8515625" hidden="1" customWidth="1"/>
    <col min="11" max="11" style="5416" width="14.7109375" hidden="1" customWidth="1"/>
    <col min="12" max="12" style="5933" width="19.140625" hidden="1" customWidth="1"/>
    <col min="13" max="14" style="4339" width="12.28125" hidden="1" customWidth="1"/>
    <col min="15" max="15" style="4339" width="23.421875" hidden="1" customWidth="1"/>
    <col min="16" max="16" style="6151" width="3.00390625" customWidth="1"/>
    <col min="17" max="18" style="5437" width="3.00390625" customWidth="1"/>
    <col min="19" max="19" style="6125" width="12.00390625" customWidth="1"/>
    <col min="20" max="20" style="5468" width="35.00390625" customWidth="1"/>
    <col min="21" max="21" style="5468" width="0.140625" customWidth="1"/>
    <col min="22" max="28" style="5468" width="19.7109375" hidden="1" customWidth="1"/>
    <col min="29" max="29" style="5468" width="11.7109375" hidden="1" customWidth="1"/>
    <col min="30" max="30" style="5468" width="3.7109375" hidden="1" customWidth="1"/>
    <col min="31" max="31" style="5468" width="11.7109375" hidden="1" customWidth="1"/>
    <col min="32" max="32" style="5468" width="8.57421875" hidden="1" customWidth="1"/>
    <col min="33" max="33" style="5468" width="19.7109375" customWidth="1"/>
    <col min="34" max="39" style="5468" width="19.00390625" customWidth="1"/>
    <col min="40" max="40" style="5468" width="11.00390625" customWidth="1"/>
    <col min="41" max="41" style="5468" width="3.7109375" customWidth="1"/>
    <col min="42" max="42" style="5468" width="11.00390625" customWidth="1"/>
    <col min="43" max="43" style="5468" width="8.57421875" hidden="1" customWidth="1"/>
    <col min="44" max="44" style="5468" width="4.00390625" customWidth="1"/>
    <col min="45" max="45" style="5468" width="115.00390625" customWidth="1"/>
    <col min="46" max="50" style="4976" width="10.00390625" customWidth="1"/>
    <col min="51" max="51" style="546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124</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531</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532</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484</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485</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486</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62</v>
      </c>
      <c r="AE7" s="2329"/>
      <c r="AF7" s="2171" t="s">
        <v>62</v>
      </c>
      <c r="AG7" s="815"/>
      <c r="AH7" s="815"/>
      <c r="AI7" s="815"/>
      <c r="AJ7" s="815"/>
      <c r="AK7" s="815"/>
      <c r="AL7" s="815"/>
      <c r="AM7" s="1321"/>
      <c r="AN7" s="2329"/>
      <c r="AO7" s="2171" t="s">
        <v>62</v>
      </c>
      <c r="AP7" s="2351"/>
      <c r="AQ7" s="2171" t="s">
        <v>62</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487</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488</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489</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976"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255</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976"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256</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62</v>
      </c>
      <c r="AP15" s="2331"/>
      <c r="AQ15" s="2332" t="s">
        <v>62</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5416" customFormat="1" customHeight="1" ht="22.5" hidden="1">
      <c r="L18" s="1542"/>
      <c r="M18" s="1426"/>
      <c r="N18" s="1426"/>
      <c r="O18" s="1431" t="s">
        <v>419</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5416"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5416" customFormat="1" customHeight="1" ht="12" hidden="1">
      <c r="L20" s="1542"/>
      <c r="M20" s="1426"/>
      <c r="N20" s="1426"/>
      <c r="O20" s="1428" t="s">
        <v>420</v>
      </c>
      <c r="P20" s="1426"/>
      <c r="Q20" s="1506"/>
      <c r="R20" s="1506"/>
      <c r="S20" s="793"/>
      <c r="T20" s="1224" t="s">
        <v>421</v>
      </c>
      <c r="W20" s="1430"/>
      <c r="X20" s="1430"/>
      <c r="Y20" s="1430"/>
      <c r="Z20" s="1430"/>
      <c r="AA20" s="1430"/>
      <c r="AD20" s="250" t="s">
        <v>422</v>
      </c>
      <c r="AF20" s="250" t="s">
        <v>423</v>
      </c>
      <c r="AG20" s="1224" t="s">
        <v>421</v>
      </c>
      <c r="AH20" s="1430"/>
      <c r="AI20" s="1430"/>
      <c r="AJ20" s="1430"/>
      <c r="AK20" s="1430"/>
      <c r="AL20" s="1430"/>
      <c r="AO20" s="250" t="s">
        <v>424</v>
      </c>
      <c r="AQ20" s="250" t="s">
        <v>423</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Нарьян-Марское МУ ПОКиТС</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601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УГРЦТ НАО</v>
      </c>
      <c r="W27" s="2315"/>
      <c r="X27" s="2315"/>
      <c r="Y27" s="2315"/>
      <c r="Z27" s="2315"/>
      <c r="AA27" s="2315"/>
      <c r="AB27" s="2315"/>
      <c r="AC27" s="2315"/>
      <c r="AD27" s="2315"/>
      <c r="AE27" s="2315"/>
      <c r="AF27" s="390"/>
      <c r="AG27" s="2315" t="str">
        <f>IF(TITLE_NAME_OR_PR_CHANGE="",IF(TITLE_NAME_OR_PR="","",TITLE_NAME_OR_PR),TITLE_NAME_OR_PR_CHANGE)</f>
        <v>УГРЦТ НАО</v>
      </c>
      <c r="AH27" s="2315"/>
      <c r="AI27" s="2315"/>
      <c r="AJ27" s="2315"/>
      <c r="AK27" s="2315"/>
      <c r="AL27" s="2315"/>
      <c r="AM27" s="2315"/>
      <c r="AN27" s="2315"/>
      <c r="AO27" s="2315"/>
      <c r="AP27" s="2315"/>
      <c r="AQ27" s="390"/>
      <c r="AR27" s="390"/>
      <c r="AS27" s="344"/>
      <c r="AT27" s="432"/>
      <c r="AU27" s="432"/>
      <c r="AV27" s="432"/>
      <c r="AW27" s="432"/>
      <c r="AX27" s="432"/>
      <c r="AY27" s="482">
        <v>0</v>
      </c>
    </row>
    <row s="6011" customFormat="1" customHeight="1" ht="18.75">
      <c r="A28" s="1432"/>
      <c r="B28" s="1432"/>
      <c r="C28" s="1432"/>
      <c r="D28" s="1432"/>
      <c r="E28" s="1432"/>
      <c r="F28" s="1432"/>
      <c r="G28" s="1432"/>
      <c r="H28" s="1432"/>
      <c r="I28" s="1432"/>
      <c r="J28" s="1432"/>
      <c r="K28" s="1432"/>
      <c r="L28" s="1433"/>
      <c r="M28" s="1432"/>
      <c r="N28" s="1432"/>
      <c r="O28" s="1432"/>
      <c r="S28" s="2314" t="s">
        <v>425</v>
      </c>
      <c r="T28" s="2314"/>
      <c r="U28" s="1436"/>
      <c r="V28" s="2328" t="str">
        <f>IF(TITLE_DATE_PR_CHANGE="",IF(TITLE_DATE_PR="","",TITLE_DATE_PR),TITLE_DATE_PR_CHANGE)</f>
        <v>46008.48059027778</v>
      </c>
      <c r="W28" s="2328"/>
      <c r="X28" s="2328"/>
      <c r="Y28" s="2328"/>
      <c r="Z28" s="2328"/>
      <c r="AA28" s="2328"/>
      <c r="AB28" s="2328"/>
      <c r="AC28" s="2328"/>
      <c r="AD28" s="2328"/>
      <c r="AE28" s="2328"/>
      <c r="AF28" s="390"/>
      <c r="AG28" s="2328" t="str">
        <f>IF(TITLE_DATE_PR_CHANGE="",IF(TITLE_DATE_PR="","",TITLE_DATE_PR),TITLE_DATE_PR_CHANGE)</f>
        <v>46008.48059027778</v>
      </c>
      <c r="AH28" s="2328"/>
      <c r="AI28" s="2328"/>
      <c r="AJ28" s="2328"/>
      <c r="AK28" s="2328"/>
      <c r="AL28" s="2328"/>
      <c r="AM28" s="2328"/>
      <c r="AN28" s="2328"/>
      <c r="AO28" s="2328"/>
      <c r="AP28" s="2328"/>
      <c r="AQ28" s="390"/>
      <c r="AR28" s="390"/>
      <c r="AS28" s="344"/>
      <c r="AT28" s="432"/>
      <c r="AU28" s="432"/>
      <c r="AV28" s="432"/>
      <c r="AW28" s="432"/>
      <c r="AX28" s="432"/>
      <c r="AY28" s="482">
        <v>0</v>
      </c>
    </row>
    <row s="6011" customFormat="1" customHeight="1" ht="18.75">
      <c r="A29" s="1432"/>
      <c r="B29" s="1432"/>
      <c r="C29" s="1432"/>
      <c r="D29" s="1432"/>
      <c r="E29" s="1432"/>
      <c r="F29" s="1432"/>
      <c r="G29" s="1432"/>
      <c r="H29" s="1432"/>
      <c r="I29" s="1432"/>
      <c r="J29" s="1432"/>
      <c r="K29" s="1432"/>
      <c r="L29" s="1433"/>
      <c r="M29" s="1432"/>
      <c r="N29" s="1432"/>
      <c r="O29" s="1432"/>
      <c r="S29" s="2314" t="s">
        <v>426</v>
      </c>
      <c r="T29" s="2314"/>
      <c r="U29" s="1436"/>
      <c r="V29" s="2315" t="str">
        <f>IF(TITLE_NUMBER_PR_CHANGE="",IF(TITLE_NUMBER_PR="","",TITLE_NUMBER_PR),TITLE_NUMBER_PR_CHANGE)</f>
        <v>58</v>
      </c>
      <c r="W29" s="2315"/>
      <c r="X29" s="2315"/>
      <c r="Y29" s="2315"/>
      <c r="Z29" s="2315"/>
      <c r="AA29" s="2315"/>
      <c r="AB29" s="2315"/>
      <c r="AC29" s="2315"/>
      <c r="AD29" s="2315"/>
      <c r="AE29" s="2315"/>
      <c r="AF29" s="390"/>
      <c r="AG29" s="2315" t="str">
        <f>IF(TITLE_NUMBER_PR_CHANGE="",IF(TITLE_NUMBER_PR="","",TITLE_NUMBER_PR),TITLE_NUMBER_PR_CHANGE)</f>
        <v>58</v>
      </c>
      <c r="AH29" s="2315"/>
      <c r="AI29" s="2315"/>
      <c r="AJ29" s="2315"/>
      <c r="AK29" s="2315"/>
      <c r="AL29" s="2315"/>
      <c r="AM29" s="2315"/>
      <c r="AN29" s="2315"/>
      <c r="AO29" s="2315"/>
      <c r="AP29" s="2315"/>
      <c r="AQ29" s="390"/>
      <c r="AR29" s="390"/>
      <c r="AS29" s="344"/>
      <c r="AT29" s="432"/>
      <c r="AU29" s="432"/>
      <c r="AV29" s="432"/>
      <c r="AW29" s="432"/>
      <c r="AX29" s="432"/>
      <c r="AY29" s="482">
        <v>0</v>
      </c>
    </row>
    <row s="601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http://pravo.gov.ru</v>
      </c>
      <c r="W30" s="2315"/>
      <c r="X30" s="2315"/>
      <c r="Y30" s="2315"/>
      <c r="Z30" s="2315"/>
      <c r="AA30" s="2315"/>
      <c r="AB30" s="2315"/>
      <c r="AC30" s="2315"/>
      <c r="AD30" s="2315"/>
      <c r="AE30" s="2315"/>
      <c r="AF30" s="390"/>
      <c r="AG30" s="2315" t="str">
        <f>IF(TITLE_IST_PUB_CHANGE="",IF(TITLE_IST_PUB="","",TITLE_IST_PUB),TITLE_IST_PUB_CHANGE)</f>
        <v>http://pravo.gov.ru</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6011" customFormat="1" customHeight="1" ht="18.75" hidden="1">
      <c r="A32" s="1432"/>
      <c r="B32" s="1432"/>
      <c r="C32" s="1432"/>
      <c r="D32" s="1432"/>
      <c r="E32" s="1432"/>
      <c r="F32" s="1432"/>
      <c r="G32" s="1432"/>
      <c r="H32" s="1432"/>
      <c r="I32" s="1432"/>
      <c r="J32" s="1432"/>
      <c r="K32" s="1432"/>
      <c r="L32" s="1433"/>
      <c r="M32" s="1432"/>
      <c r="N32" s="1432"/>
      <c r="O32" s="1432"/>
      <c r="S32" s="2314" t="s">
        <v>427</v>
      </c>
      <c r="T32" s="2314"/>
      <c r="U32" s="1436"/>
      <c r="V32" s="2328" t="str">
        <f>IF(TITLE_DATE_PR_CHANGE="",IF(TITLE_DATE_PR="","",TITLE_DATE_PR),TITLE_DATE_PR_CHANGE)</f>
        <v>46008.48059027778</v>
      </c>
      <c r="W32" s="2328"/>
      <c r="X32" s="2328"/>
      <c r="Y32" s="2328"/>
      <c r="Z32" s="2328"/>
      <c r="AA32" s="2328"/>
      <c r="AB32" s="2328"/>
      <c r="AC32" s="2328"/>
      <c r="AD32" s="2328"/>
      <c r="AE32" s="2328"/>
      <c r="AF32" s="390"/>
      <c r="AG32" s="2328" t="str">
        <f>IF(TITLE_DATE_PR_CHANGE="",IF(TITLE_DATE_PR="","",TITLE_DATE_PR),TITLE_DATE_PR_CHANGE)</f>
        <v>46008.48059027778</v>
      </c>
      <c r="AH32" s="2328"/>
      <c r="AI32" s="2328"/>
      <c r="AJ32" s="2328"/>
      <c r="AK32" s="2328"/>
      <c r="AL32" s="2328"/>
      <c r="AM32" s="2328"/>
      <c r="AN32" s="2328"/>
      <c r="AO32" s="2328"/>
      <c r="AP32" s="2328"/>
      <c r="AQ32" s="390"/>
      <c r="AR32" s="390"/>
      <c r="AS32" s="344"/>
      <c r="AT32" s="432"/>
      <c r="AU32" s="432"/>
      <c r="AV32" s="432"/>
      <c r="AW32" s="432"/>
      <c r="AX32" s="432"/>
      <c r="AY32" s="482">
        <v>0</v>
      </c>
    </row>
    <row s="6011" customFormat="1" customHeight="1" ht="18.75" hidden="1">
      <c r="A33" s="1432"/>
      <c r="B33" s="1432"/>
      <c r="C33" s="1432"/>
      <c r="D33" s="1432"/>
      <c r="E33" s="1432"/>
      <c r="F33" s="1432"/>
      <c r="G33" s="1432"/>
      <c r="H33" s="1432"/>
      <c r="I33" s="1432"/>
      <c r="J33" s="1432"/>
      <c r="K33" s="1432"/>
      <c r="L33" s="1433"/>
      <c r="M33" s="1432"/>
      <c r="N33" s="1432"/>
      <c r="O33" s="1432"/>
      <c r="S33" s="2314" t="s">
        <v>428</v>
      </c>
      <c r="T33" s="2314"/>
      <c r="U33" s="1436"/>
      <c r="V33" s="2315" t="str">
        <f>IF(TITLE_NUMBER_PR_CHANGE="",IF(TITLE_NUMBER_PR="","",TITLE_NUMBER_PR),TITLE_NUMBER_PR_CHANGE)</f>
        <v>58</v>
      </c>
      <c r="W33" s="2315"/>
      <c r="X33" s="2315"/>
      <c r="Y33" s="2315"/>
      <c r="Z33" s="2315"/>
      <c r="AA33" s="2315"/>
      <c r="AB33" s="2315"/>
      <c r="AC33" s="2315"/>
      <c r="AD33" s="2315"/>
      <c r="AE33" s="2315"/>
      <c r="AF33" s="390"/>
      <c r="AG33" s="2315" t="str">
        <f>IF(TITLE_NUMBER_PR_CHANGE="",IF(TITLE_NUMBER_PR="","",TITLE_NUMBER_PR),TITLE_NUMBER_PR_CHANGE)</f>
        <v>58</v>
      </c>
      <c r="AH33" s="2315"/>
      <c r="AI33" s="2315"/>
      <c r="AJ33" s="2315"/>
      <c r="AK33" s="2315"/>
      <c r="AL33" s="2315"/>
      <c r="AM33" s="2315"/>
      <c r="AN33" s="2315"/>
      <c r="AO33" s="2315"/>
      <c r="AP33" s="2315"/>
      <c r="AQ33" s="390"/>
      <c r="AR33" s="390"/>
      <c r="AS33" s="344"/>
      <c r="AT33" s="432"/>
      <c r="AU33" s="432"/>
      <c r="AV33" s="432"/>
      <c r="AW33" s="432"/>
      <c r="AX33" s="432"/>
      <c r="AY33" s="482">
        <v>0</v>
      </c>
    </row>
    <row s="601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429</v>
      </c>
      <c r="AG34" s="390"/>
      <c r="AH34" s="1699"/>
      <c r="AI34" s="1699"/>
      <c r="AJ34" s="1699"/>
      <c r="AK34" s="1699"/>
      <c r="AL34" s="1699"/>
      <c r="AM34" s="390"/>
      <c r="AN34" s="390"/>
      <c r="AO34" s="390"/>
      <c r="AP34" s="390"/>
      <c r="AQ34" s="342" t="s">
        <v>429</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305</v>
      </c>
      <c r="AY36" s="1219">
        <v>14</v>
      </c>
    </row>
    <row customHeight="1" ht="14.699999999999998">
      <c r="Q37" s="440"/>
      <c r="R37" s="440"/>
      <c r="S37" s="2337" t="s">
        <v>89</v>
      </c>
      <c r="T37" s="2273" t="s">
        <v>430</v>
      </c>
      <c r="U37" s="365"/>
      <c r="V37" s="2338" t="s">
        <v>431</v>
      </c>
      <c r="W37" s="2339"/>
      <c r="X37" s="2339"/>
      <c r="Y37" s="2339"/>
      <c r="Z37" s="2339"/>
      <c r="AA37" s="2339"/>
      <c r="AB37" s="2339"/>
      <c r="AC37" s="2339"/>
      <c r="AD37" s="2339"/>
      <c r="AE37" s="2340"/>
      <c r="AF37" s="2341" t="s">
        <v>432</v>
      </c>
      <c r="AG37" s="2338" t="s">
        <v>431</v>
      </c>
      <c r="AH37" s="2339"/>
      <c r="AI37" s="2339"/>
      <c r="AJ37" s="2339"/>
      <c r="AK37" s="2339"/>
      <c r="AL37" s="2339"/>
      <c r="AM37" s="2339"/>
      <c r="AN37" s="2339"/>
      <c r="AO37" s="2339"/>
      <c r="AP37" s="2340"/>
      <c r="AQ37" s="2341" t="s">
        <v>433</v>
      </c>
      <c r="AR37" s="2344" t="s">
        <v>434</v>
      </c>
      <c r="AS37" s="2191"/>
      <c r="AY37" s="1219">
        <v>14</v>
      </c>
    </row>
    <row s="546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534</v>
      </c>
      <c r="W38" s="2429" t="s">
        <v>535</v>
      </c>
      <c r="X38" s="2429"/>
      <c r="Y38" s="2429"/>
      <c r="Z38" s="2429" t="s">
        <v>536</v>
      </c>
      <c r="AA38" s="2429"/>
      <c r="AB38" s="2429"/>
      <c r="AC38" s="2358" t="s">
        <v>438</v>
      </c>
      <c r="AD38" s="2377"/>
      <c r="AE38" s="2378"/>
      <c r="AF38" s="2342"/>
      <c r="AG38" s="2430" t="s">
        <v>534</v>
      </c>
      <c r="AH38" s="2429" t="s">
        <v>535</v>
      </c>
      <c r="AI38" s="2429"/>
      <c r="AJ38" s="2429"/>
      <c r="AK38" s="2429" t="s">
        <v>536</v>
      </c>
      <c r="AL38" s="2429"/>
      <c r="AM38" s="2429"/>
      <c r="AN38" s="2358" t="s">
        <v>438</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537</v>
      </c>
      <c r="X39" s="2429" t="s">
        <v>538</v>
      </c>
      <c r="Y39" s="2429"/>
      <c r="Z39" s="2429" t="s">
        <v>539</v>
      </c>
      <c r="AA39" s="2429" t="s">
        <v>538</v>
      </c>
      <c r="AB39" s="2429"/>
      <c r="AC39" s="2359"/>
      <c r="AD39" s="2379"/>
      <c r="AE39" s="2380"/>
      <c r="AF39" s="2342"/>
      <c r="AG39" s="2430"/>
      <c r="AH39" s="2429" t="s">
        <v>537</v>
      </c>
      <c r="AI39" s="2429" t="s">
        <v>538</v>
      </c>
      <c r="AJ39" s="2429"/>
      <c r="AK39" s="2429" t="s">
        <v>539</v>
      </c>
      <c r="AL39" s="2429" t="s">
        <v>538</v>
      </c>
      <c r="AM39" s="2429"/>
      <c r="AN39" s="2359"/>
      <c r="AO39" s="2379"/>
      <c r="AP39" s="2380"/>
      <c r="AQ39" s="2342"/>
      <c r="AR39" s="2345"/>
      <c r="AS39" s="2191"/>
      <c r="AY39" s="1219">
        <v>19</v>
      </c>
    </row>
    <row customHeight="1" ht="61.949999999999996">
      <c r="A40" s="1434"/>
      <c r="B40" s="1434" t="s">
        <v>136</v>
      </c>
      <c r="C40" s="1434" t="s">
        <v>137</v>
      </c>
      <c r="D40" s="1434" t="s">
        <v>138</v>
      </c>
      <c r="E40" s="1428" t="s">
        <v>439</v>
      </c>
      <c r="F40" s="1428" t="s">
        <v>440</v>
      </c>
      <c r="G40" s="1428" t="s">
        <v>441</v>
      </c>
      <c r="H40" s="1428"/>
      <c r="I40" s="1428" t="s">
        <v>491</v>
      </c>
      <c r="J40" s="1428" t="s">
        <v>444</v>
      </c>
      <c r="K40" s="1428" t="s">
        <v>492</v>
      </c>
      <c r="L40" s="1428" t="s">
        <v>420</v>
      </c>
      <c r="Q40" s="440"/>
      <c r="R40" s="440"/>
      <c r="S40" s="2337"/>
      <c r="T40" s="2273"/>
      <c r="U40" s="366"/>
      <c r="V40" s="2430"/>
      <c r="W40" s="2429"/>
      <c r="X40" s="2047" t="s">
        <v>540</v>
      </c>
      <c r="Y40" s="2047" t="s">
        <v>541</v>
      </c>
      <c r="Z40" s="2429"/>
      <c r="AA40" s="2047" t="s">
        <v>542</v>
      </c>
      <c r="AB40" s="2047" t="s">
        <v>543</v>
      </c>
      <c r="AC40" s="1553" t="s">
        <v>448</v>
      </c>
      <c r="AD40" s="2334" t="s">
        <v>449</v>
      </c>
      <c r="AE40" s="2335"/>
      <c r="AF40" s="2343"/>
      <c r="AG40" s="2430"/>
      <c r="AH40" s="2429"/>
      <c r="AI40" s="2047" t="s">
        <v>540</v>
      </c>
      <c r="AJ40" s="2047" t="s">
        <v>541</v>
      </c>
      <c r="AK40" s="2429"/>
      <c r="AL40" s="2047" t="s">
        <v>542</v>
      </c>
      <c r="AM40" s="2047" t="s">
        <v>543</v>
      </c>
      <c r="AN40" s="1553" t="s">
        <v>448</v>
      </c>
      <c r="AO40" s="2334" t="s">
        <v>449</v>
      </c>
      <c r="AP40" s="2335"/>
      <c r="AQ40" s="2343"/>
      <c r="AR40" s="2346"/>
      <c r="AS40" s="2191"/>
      <c r="AY40" s="1219">
        <v>59</v>
      </c>
    </row>
    <row s="3710"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110</v>
      </c>
      <c r="T41" s="1319" t="s">
        <v>111</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260</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124</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260</v>
      </c>
      <c r="B43" s="1427" t="s">
        <v>261</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402</v>
      </c>
      <c r="AU43" s="564"/>
      <c r="AV43" s="564" t="str">
        <f>IF(T43="","",T43)</f>
        <v>Территория действия тарифа</v>
      </c>
      <c r="AW43" s="564"/>
      <c r="AX43" s="564"/>
      <c r="AY43" s="1219">
        <v>23</v>
      </c>
    </row>
    <row customHeight="1" ht="24">
      <c r="A44" s="1427" t="s">
        <v>260</v>
      </c>
      <c r="B44" s="1427" t="s">
        <v>261</v>
      </c>
      <c r="C44" s="1427" t="s">
        <v>262</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531</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532</v>
      </c>
      <c r="AU44" s="564"/>
      <c r="AV44" s="564" t="str">
        <f>IF(T44="","",T44)</f>
        <v>Наименование централизованной системы горячего водоснабжения</v>
      </c>
      <c r="AW44" s="564"/>
      <c r="AX44" s="564"/>
      <c r="AY44" s="1219">
        <v>23</v>
      </c>
    </row>
    <row customHeight="1" ht="24">
      <c r="A45" s="1427" t="s">
        <v>260</v>
      </c>
      <c r="B45" s="1427" t="s">
        <v>261</v>
      </c>
      <c r="C45" s="1427" t="s">
        <v>262</v>
      </c>
      <c r="D45" s="1427" t="s">
        <v>547</v>
      </c>
      <c r="E45" s="2323"/>
      <c r="F45" s="2323"/>
      <c r="G45" s="2323"/>
      <c r="H45" s="2323"/>
      <c r="I45" s="2320" t="str">
        <f>S44&amp;".1"</f>
        <v>...1</v>
      </c>
      <c r="J45" s="1427"/>
      <c r="K45" s="1427"/>
      <c r="L45" s="1428"/>
      <c r="P45" s="2321">
        <v>1</v>
      </c>
      <c r="Q45" s="1545"/>
      <c r="R45" s="420"/>
      <c r="S45" s="1557" t="str">
        <f>$I45</f>
        <v>...1</v>
      </c>
      <c r="T45" s="349" t="s">
        <v>484</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485</v>
      </c>
      <c r="AU45" s="564"/>
      <c r="AV45" s="564" t="str">
        <f>IF(T45="","",T45)</f>
        <v>Наименование признака дифференциации</v>
      </c>
      <c r="AW45" s="564"/>
      <c r="AX45" s="564"/>
      <c r="AY45" s="1219">
        <v>23</v>
      </c>
    </row>
    <row customHeight="1" ht="24">
      <c r="A46" s="1427" t="s">
        <v>260</v>
      </c>
      <c r="B46" s="1427" t="s">
        <v>261</v>
      </c>
      <c r="C46" s="1427" t="s">
        <v>262</v>
      </c>
      <c r="D46" s="1427" t="s">
        <v>547</v>
      </c>
      <c r="E46" s="2323"/>
      <c r="F46" s="2323"/>
      <c r="G46" s="2323"/>
      <c r="H46" s="2323"/>
      <c r="I46" s="2350"/>
      <c r="J46" s="2320" t="str">
        <f>I45&amp;".1"</f>
        <v>...1.1</v>
      </c>
      <c r="K46" s="1427"/>
      <c r="L46" s="1428" t="s">
        <v>410</v>
      </c>
      <c r="P46" s="2321"/>
      <c r="Q46" s="2321">
        <v>1</v>
      </c>
      <c r="R46" s="421"/>
      <c r="S46" s="1557" t="str">
        <f>$J46</f>
        <v>...1.1</v>
      </c>
      <c r="T46" s="350" t="s">
        <v>411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486</v>
      </c>
      <c r="AU46" s="564"/>
      <c r="AV46" s="564" t="str">
        <f>IF(T46="","",T46)</f>
        <v>Группа потребителей</v>
      </c>
      <c r="AW46" s="564"/>
      <c r="AX46" s="564"/>
      <c r="AY46" s="1219">
        <v>23</v>
      </c>
    </row>
    <row customHeight="1" ht="24">
      <c r="A47" s="1427" t="s">
        <v>260</v>
      </c>
      <c r="B47" s="1427" t="s">
        <v>261</v>
      </c>
      <c r="C47" s="1427" t="s">
        <v>262</v>
      </c>
      <c r="D47" s="1427" t="s">
        <v>547</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62</v>
      </c>
      <c r="AE47" s="2331"/>
      <c r="AF47" s="2332" t="s">
        <v>62</v>
      </c>
      <c r="AG47" s="815"/>
      <c r="AH47" s="815"/>
      <c r="AI47" s="815"/>
      <c r="AJ47" s="815"/>
      <c r="AK47" s="815"/>
      <c r="AL47" s="815"/>
      <c r="AM47" s="1321"/>
      <c r="AN47" s="2329"/>
      <c r="AO47" s="2171" t="s">
        <v>62</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260</v>
      </c>
      <c r="B48" s="1427" t="s">
        <v>261</v>
      </c>
      <c r="C48" s="1427" t="s">
        <v>262</v>
      </c>
      <c r="D48" s="1427" t="s">
        <v>547</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260</v>
      </c>
      <c r="B49" s="1427" t="s">
        <v>261</v>
      </c>
      <c r="C49" s="1427" t="s">
        <v>262</v>
      </c>
      <c r="D49" s="1427" t="s">
        <v>547</v>
      </c>
      <c r="E49" s="2323"/>
      <c r="F49" s="2323"/>
      <c r="G49" s="2323"/>
      <c r="H49" s="2323"/>
      <c r="I49" s="2350"/>
      <c r="J49" s="2320"/>
      <c r="K49" s="1427"/>
      <c r="L49" s="1428"/>
      <c r="P49" s="2321"/>
      <c r="Q49" s="2321"/>
      <c r="R49" s="420"/>
      <c r="S49" s="1342"/>
      <c r="T49" s="351" t="s">
        <v>487</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488</v>
      </c>
      <c r="AU49" s="564"/>
      <c r="AV49" s="564" t="str">
        <f>IF(T49="","",T49)</f>
        <v>Добавить значение признака дифференциации</v>
      </c>
      <c r="AW49" s="564"/>
      <c r="AX49" s="564"/>
      <c r="AY49" s="1219">
        <v>20</v>
      </c>
    </row>
    <row customHeight="1" ht="22.049999999999997">
      <c r="A50" s="1427" t="s">
        <v>260</v>
      </c>
      <c r="B50" s="1427" t="s">
        <v>261</v>
      </c>
      <c r="C50" s="1427" t="s">
        <v>262</v>
      </c>
      <c r="D50" s="1427" t="s">
        <v>547</v>
      </c>
      <c r="E50" s="2323"/>
      <c r="F50" s="2323"/>
      <c r="G50" s="2323"/>
      <c r="H50" s="2323"/>
      <c r="I50" s="2320"/>
      <c r="J50" s="1427"/>
      <c r="K50" s="1427"/>
      <c r="L50" s="1428"/>
      <c r="P50" s="2321"/>
      <c r="Q50" s="1545"/>
      <c r="R50" s="420"/>
      <c r="S50" s="1342"/>
      <c r="T50" s="429" t="s">
        <v>416</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260</v>
      </c>
      <c r="B51" s="1427" t="s">
        <v>261</v>
      </c>
      <c r="C51" s="1427" t="s">
        <v>262</v>
      </c>
      <c r="D51" s="1427" t="s">
        <v>547</v>
      </c>
      <c r="E51" s="2323"/>
      <c r="F51" s="2323"/>
      <c r="G51" s="2323"/>
      <c r="H51" s="2322"/>
      <c r="I51" s="1427"/>
      <c r="J51" s="1427"/>
      <c r="K51" s="1427"/>
      <c r="L51" s="1428"/>
      <c r="M51" s="1429"/>
      <c r="N51" s="1429"/>
      <c r="O51" s="601"/>
      <c r="P51" s="424"/>
      <c r="Q51" s="439"/>
      <c r="R51" s="419"/>
      <c r="S51" s="1342"/>
      <c r="T51" s="436" t="s">
        <v>489</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976" customFormat="1" customHeight="1" ht="0">
      <c r="A52" s="1407" t="s">
        <v>260</v>
      </c>
      <c r="B52" s="1407" t="s">
        <v>261</v>
      </c>
      <c r="C52" s="1378"/>
      <c r="D52" s="1378"/>
      <c r="E52" s="2323"/>
      <c r="F52" s="2322"/>
      <c r="G52" s="1378"/>
      <c r="H52" s="1378"/>
      <c r="I52" s="1378"/>
      <c r="J52" s="1378"/>
      <c r="K52" s="1378"/>
      <c r="L52" s="1558"/>
      <c r="M52" s="1385"/>
      <c r="N52" s="1385"/>
      <c r="P52" s="1380"/>
      <c r="Q52" s="1381"/>
      <c r="R52" s="1380"/>
      <c r="S52" s="1386"/>
      <c r="T52" s="1389" t="s">
        <v>255</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976" customFormat="1" customHeight="1" ht="0">
      <c r="A53" s="1407" t="s">
        <v>260</v>
      </c>
      <c r="B53" s="1407"/>
      <c r="C53" s="1407"/>
      <c r="D53" s="1407"/>
      <c r="E53" s="2322"/>
      <c r="F53" s="1407"/>
      <c r="G53" s="1407"/>
      <c r="H53" s="1407"/>
      <c r="I53" s="1407"/>
      <c r="J53" s="1407"/>
      <c r="K53" s="1407"/>
      <c r="L53" s="1410"/>
      <c r="M53" s="1385"/>
      <c r="N53" s="1385"/>
      <c r="O53" s="582"/>
      <c r="P53" s="444"/>
      <c r="Q53" s="1408"/>
      <c r="R53" s="444"/>
      <c r="S53" s="1386"/>
      <c r="T53" s="1389" t="s">
        <v>256</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976"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257</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83</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A7EB1-7A36-C108-D05E-0.8D2D2AFB}" mc:Ignorable="x14ac xr xr2 xr3">
  <sheetPr>
    <tabColor theme="6" tint="0.4"/>
  </sheetPr>
  <dimension ref="A1:BI69"/>
  <sheetViews>
    <sheetView topLeftCell="A1" showGridLines="0" zoomScale="90" workbookViewId="0">
      <selection activeCell="AT52" sqref="AT52"/>
    </sheetView>
  </sheetViews>
  <sheetFormatPr defaultColWidth="10.57421875" customHeight="1" defaultRowHeight="14.25"/>
  <cols>
    <col min="1" max="1" style="5416" width="11.57421875" hidden="1" customWidth="1"/>
    <col min="2" max="2" style="5416" width="11.00390625" hidden="1" customWidth="1"/>
    <col min="3" max="3" style="5416" width="10.57421875" hidden="1"/>
    <col min="4" max="4" style="5416" width="12.8515625" hidden="1" customWidth="1"/>
    <col min="5" max="5" style="5416" width="10.00390625" hidden="1" customWidth="1"/>
    <col min="6" max="6" style="5416" width="8.7109375" hidden="1" customWidth="1"/>
    <col min="7" max="7" style="5416" width="7.57421875" hidden="1" customWidth="1"/>
    <col min="8" max="8" style="5416" width="11.421875" hidden="1" customWidth="1"/>
    <col min="9" max="9" style="5416" width="12.00390625" hidden="1" customWidth="1"/>
    <col min="10" max="10" style="5416" width="9.8515625" hidden="1" customWidth="1"/>
    <col min="11" max="11" style="5416" width="11.421875" hidden="1" customWidth="1"/>
    <col min="12" max="12" style="5933" width="19.140625" hidden="1" customWidth="1"/>
    <col min="13" max="14" style="4339" width="12.28125" hidden="1" customWidth="1"/>
    <col min="15" max="15" style="4339" width="23.421875" hidden="1" customWidth="1"/>
    <col min="16" max="16" style="4339" width="3.7109375" hidden="1" customWidth="1"/>
    <col min="17" max="17" style="3609" width="3.7109375" hidden="1" customWidth="1"/>
    <col min="18" max="18" style="5437" width="3.00390625" customWidth="1"/>
    <col min="19" max="19" style="6125" width="12.00390625" customWidth="1"/>
    <col min="20" max="20" style="5468" width="31.00390625" customWidth="1"/>
    <col min="21" max="21" style="5468" width="0.140625" customWidth="1"/>
    <col min="22" max="25" style="5468" width="21.7109375" hidden="1" customWidth="1"/>
    <col min="26" max="26" style="5468" width="11.7109375" hidden="1" customWidth="1"/>
    <col min="27" max="27" style="5468" width="3.7109375" hidden="1" customWidth="1"/>
    <col min="28" max="28" style="5468" width="11.7109375" hidden="1" customWidth="1"/>
    <col min="29" max="29" style="5468" width="8.57421875" hidden="1" customWidth="1"/>
    <col min="30" max="30" style="5468" width="3.7109375" customWidth="1"/>
    <col min="31" max="32" style="5468" width="3.00390625" customWidth="1"/>
    <col min="33" max="33" style="5468" width="24.00390625" customWidth="1"/>
    <col min="34" max="34" style="5468" width="3.7109375" customWidth="1"/>
    <col min="35" max="36" style="5468" width="3.00390625" customWidth="1"/>
    <col min="37" max="37" style="5468" width="24.00390625" customWidth="1"/>
    <col min="38" max="38" style="5468" width="3.7109375" customWidth="1"/>
    <col min="39" max="40" style="5468" width="3.00390625" customWidth="1"/>
    <col min="41" max="41" style="5468" width="18.00390625" customWidth="1"/>
    <col min="42" max="42" style="5468" width="3.7109375" customWidth="1"/>
    <col min="43" max="44" style="5468" width="3.00390625" customWidth="1"/>
    <col min="45" max="45" style="5468" width="18.00390625" customWidth="1"/>
    <col min="46" max="49" style="5468" width="21.00390625" customWidth="1"/>
    <col min="50" max="50" style="5468" width="11.00390625" customWidth="1"/>
    <col min="51" max="51" style="5468" width="3.7109375" customWidth="1"/>
    <col min="52" max="52" style="5468" width="11.00390625" customWidth="1"/>
    <col min="53" max="53" style="5468" width="8.57421875" hidden="1" customWidth="1"/>
    <col min="54" max="54" style="5468" width="4.00390625" customWidth="1"/>
    <col min="55" max="55" style="5468" width="115.00390625" customWidth="1"/>
    <col min="56" max="60" style="4976" width="10.00390625" customWidth="1"/>
    <col min="61" max="61" style="546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124</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531</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532</v>
      </c>
      <c r="BE4" s="564"/>
      <c r="BF4" s="564" t="str">
        <f>IF(T4="","",T4)</f>
        <v>Наименование централизованной системы горячего водоснабжения</v>
      </c>
      <c r="BG4" s="564"/>
      <c r="BH4" s="564"/>
      <c r="BI4" s="1219">
        <v>0</v>
      </c>
    </row>
    <row s="4976"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976" customFormat="1" customHeight="1" ht="14.25" hidden="1">
      <c r="A6" s="1407"/>
      <c r="B6" s="1407"/>
      <c r="C6" s="1407"/>
      <c r="D6" s="1407"/>
      <c r="E6" s="2323"/>
      <c r="F6" s="2323"/>
      <c r="G6" s="2323"/>
      <c r="H6" s="2323"/>
      <c r="I6" s="2320" t="str">
        <f>S5&amp;".1"</f>
        <v>.1</v>
      </c>
      <c r="J6" s="1407"/>
      <c r="K6" s="1407"/>
      <c r="L6" s="1410" t="s">
        <v>407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976"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62</v>
      </c>
      <c r="AB8" s="1798"/>
      <c r="AC8" s="1533" t="s">
        <v>62</v>
      </c>
      <c r="AD8" s="2249" t="s">
        <v>62</v>
      </c>
      <c r="AE8" s="2390"/>
      <c r="AF8" s="2269">
        <v>1</v>
      </c>
      <c r="AG8" s="2427"/>
      <c r="AH8" s="2171" t="s">
        <v>62</v>
      </c>
      <c r="AI8" s="2390"/>
      <c r="AJ8" s="2269">
        <v>1</v>
      </c>
      <c r="AK8" s="2391" t="s">
        <v>28</v>
      </c>
      <c r="AL8" s="2171" t="s">
        <v>62</v>
      </c>
      <c r="AM8" s="2256"/>
      <c r="AN8" s="2269">
        <v>1</v>
      </c>
      <c r="AO8" s="2421"/>
      <c r="AP8" s="2422" t="s">
        <v>62</v>
      </c>
      <c r="AQ8" s="375"/>
      <c r="AR8" s="1550">
        <v>1</v>
      </c>
      <c r="AS8" s="1556" t="s">
        <v>28</v>
      </c>
      <c r="AT8" s="815"/>
      <c r="AU8" s="1321"/>
      <c r="AV8" s="815"/>
      <c r="AW8" s="1321"/>
      <c r="AX8" s="1798"/>
      <c r="AY8" s="1533" t="s">
        <v>62</v>
      </c>
      <c r="AZ8" s="1798"/>
      <c r="BA8" s="1533" t="s">
        <v>62</v>
      </c>
      <c r="BB8" s="1412"/>
      <c r="BC8" s="2317" t="s">
        <v>502</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503</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504</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505</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506</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469</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976"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976"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976"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976"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255</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976"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256</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62</v>
      </c>
      <c r="AZ20" s="1800"/>
      <c r="BA20" s="1549" t="s">
        <v>62</v>
      </c>
      <c r="BI20" s="1219">
        <v>0</v>
      </c>
    </row>
    <row customHeight="1" ht="14.25" hidden="1">
      <c r="BD21" s="560"/>
      <c r="BE21" s="560"/>
      <c r="BF21" s="560"/>
      <c r="BG21" s="560"/>
      <c r="BH21" s="560"/>
      <c r="BI21" s="1219">
        <v>0</v>
      </c>
    </row>
    <row customHeight="1" ht="14.25" hidden="1">
      <c r="O22" s="1431" t="s">
        <v>419</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842" customFormat="1" customHeight="1" ht="14.25" hidden="1">
      <c r="M24" s="1572"/>
      <c r="N24" s="1572"/>
      <c r="O24" s="1573" t="s">
        <v>420</v>
      </c>
      <c r="P24" s="1572"/>
      <c r="Q24" s="1574"/>
      <c r="R24" s="1574"/>
      <c r="AA24" s="1571" t="s">
        <v>422</v>
      </c>
      <c r="AC24" s="1571" t="s">
        <v>423</v>
      </c>
      <c r="AD24" s="1571" t="s">
        <v>470</v>
      </c>
      <c r="AH24" s="1571" t="s">
        <v>470</v>
      </c>
      <c r="AK24" s="1571" t="s">
        <v>507</v>
      </c>
      <c r="AL24" s="1571" t="s">
        <v>470</v>
      </c>
      <c r="AP24" s="1571" t="s">
        <v>470</v>
      </c>
      <c r="AY24" s="1571" t="s">
        <v>422</v>
      </c>
      <c r="BA24" s="1571" t="s">
        <v>423</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Нарьян-Марское МУ ПОКиТС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601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УГРЦТ НАО</v>
      </c>
      <c r="W31" s="2315"/>
      <c r="X31" s="2315"/>
      <c r="Y31" s="2315"/>
      <c r="Z31" s="2315"/>
      <c r="AA31" s="2315"/>
      <c r="AB31" s="2315"/>
      <c r="AC31" s="390"/>
      <c r="AD31" s="2315" t="str">
        <f>IF(TITLE_NAME_OR_PR_CHANGE="",IF(TITLE_NAME_OR_PR="","",TITLE_NAME_OR_PR),TITLE_NAME_OR_PR_CHANGE)</f>
        <v>УГРЦТ НАО</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6011" customFormat="1" customHeight="1" ht="18.75">
      <c r="A32" s="1432"/>
      <c r="B32" s="1432"/>
      <c r="C32" s="1432"/>
      <c r="D32" s="1432"/>
      <c r="E32" s="1432"/>
      <c r="F32" s="1432"/>
      <c r="G32" s="1432"/>
      <c r="H32" s="1432"/>
      <c r="I32" s="1432"/>
      <c r="J32" s="1432"/>
      <c r="K32" s="1432"/>
      <c r="L32" s="1433"/>
      <c r="M32" s="1432"/>
      <c r="N32" s="1432"/>
      <c r="O32" s="1432"/>
      <c r="P32" s="1432"/>
      <c r="Q32" s="1432"/>
      <c r="S32" s="2314" t="s">
        <v>425</v>
      </c>
      <c r="T32" s="2314"/>
      <c r="U32" s="1436"/>
      <c r="V32" s="2328" t="str">
        <f>IF(TITLE_DATE_PR_CHANGE="",IF(TITLE_DATE_PR="","",TITLE_DATE_PR),TITLE_DATE_PR_CHANGE)</f>
        <v>46008.48059027778</v>
      </c>
      <c r="W32" s="2328"/>
      <c r="X32" s="2328"/>
      <c r="Y32" s="2328"/>
      <c r="Z32" s="2328"/>
      <c r="AA32" s="2328"/>
      <c r="AB32" s="2328"/>
      <c r="AC32" s="390"/>
      <c r="AD32" s="2328" t="str">
        <f>IF(TITLE_DATE_PR_CHANGE="",IF(TITLE_DATE_PR="","",TITLE_DATE_PR),TITLE_DATE_PR_CHANGE)</f>
        <v>46008.48059027778</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6011" customFormat="1" customHeight="1" ht="18.75">
      <c r="A33" s="1432"/>
      <c r="B33" s="1432"/>
      <c r="C33" s="1432"/>
      <c r="D33" s="1432"/>
      <c r="E33" s="1432"/>
      <c r="F33" s="1432"/>
      <c r="G33" s="1432"/>
      <c r="H33" s="1432"/>
      <c r="I33" s="1432"/>
      <c r="J33" s="1432"/>
      <c r="K33" s="1432"/>
      <c r="L33" s="1433"/>
      <c r="M33" s="1432"/>
      <c r="N33" s="1432"/>
      <c r="O33" s="1432"/>
      <c r="P33" s="1432"/>
      <c r="Q33" s="1432"/>
      <c r="S33" s="2314" t="s">
        <v>426</v>
      </c>
      <c r="T33" s="2314"/>
      <c r="U33" s="1436"/>
      <c r="V33" s="2315" t="str">
        <f>IF(TITLE_NUMBER_PR_CHANGE="",IF(TITLE_NUMBER_PR="","",TITLE_NUMBER_PR),TITLE_NUMBER_PR_CHANGE)</f>
        <v>58</v>
      </c>
      <c r="W33" s="2315"/>
      <c r="X33" s="2315"/>
      <c r="Y33" s="2315"/>
      <c r="Z33" s="2315"/>
      <c r="AA33" s="2315"/>
      <c r="AB33" s="2315"/>
      <c r="AC33" s="390"/>
      <c r="AD33" s="2315" t="str">
        <f>IF(TITLE_NUMBER_PR_CHANGE="",IF(TITLE_NUMBER_PR="","",TITLE_NUMBER_PR),TITLE_NUMBER_PR_CHANGE)</f>
        <v>58</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601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http://pravo.gov.ru</v>
      </c>
      <c r="W34" s="2315"/>
      <c r="X34" s="2315"/>
      <c r="Y34" s="2315"/>
      <c r="Z34" s="2315"/>
      <c r="AA34" s="2315"/>
      <c r="AB34" s="2315"/>
      <c r="AC34" s="390"/>
      <c r="AD34" s="2315" t="str">
        <f>IF(TITLE_IST_PUB_CHANGE="",IF(TITLE_IST_PUB="","",TITLE_IST_PUB),TITLE_IST_PUB_CHANGE)</f>
        <v>http://pravo.gov.ru</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601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425</v>
      </c>
      <c r="T36" s="2314"/>
      <c r="U36" s="1436"/>
      <c r="V36" s="2328" t="str">
        <f>IF(TITLE_DATE_PR_CHANGE="",IF(TITLE_DATE_PR="","",TITLE_DATE_PR),TITLE_DATE_PR_CHANGE)</f>
        <v>46008.48059027778</v>
      </c>
      <c r="W36" s="2328"/>
      <c r="X36" s="2328"/>
      <c r="Y36" s="2328"/>
      <c r="Z36" s="2328"/>
      <c r="AA36" s="2328"/>
      <c r="AB36" s="2328"/>
      <c r="AC36" s="390"/>
      <c r="AD36" s="2328" t="str">
        <f>IF(TITLE_DATE_PR_CHANGE="",IF(TITLE_DATE_PR="","",TITLE_DATE_PR),TITLE_DATE_PR_CHANGE)</f>
        <v>46008.48059027778</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601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426</v>
      </c>
      <c r="T37" s="2314"/>
      <c r="U37" s="1436"/>
      <c r="V37" s="2315" t="str">
        <f>IF(TITLE_NUMBER_PR_CHANGE="",IF(TITLE_NUMBER_PR="","",TITLE_NUMBER_PR),TITLE_NUMBER_PR_CHANGE)</f>
        <v>58</v>
      </c>
      <c r="W37" s="2315"/>
      <c r="X37" s="2315"/>
      <c r="Y37" s="2315"/>
      <c r="Z37" s="2315"/>
      <c r="AA37" s="2315"/>
      <c r="AB37" s="2315"/>
      <c r="AC37" s="390"/>
      <c r="AD37" s="2315" t="str">
        <f>IF(TITLE_NUMBER_PR_CHANGE="",IF(TITLE_NUMBER_PR="","",TITLE_NUMBER_PR),TITLE_NUMBER_PR_CHANGE)</f>
        <v>58</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601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429</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429</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89</v>
      </c>
      <c r="T41" s="2273" t="s">
        <v>508</v>
      </c>
      <c r="U41" s="365"/>
      <c r="V41" s="2338" t="s">
        <v>431</v>
      </c>
      <c r="W41" s="2339"/>
      <c r="X41" s="2339"/>
      <c r="Y41" s="2339"/>
      <c r="Z41" s="2339"/>
      <c r="AA41" s="2339"/>
      <c r="AB41" s="2340"/>
      <c r="AC41" s="2341" t="s">
        <v>432</v>
      </c>
      <c r="AD41" s="2392" t="s">
        <v>509</v>
      </c>
      <c r="AE41" s="2355"/>
      <c r="AF41" s="2355"/>
      <c r="AG41" s="2393"/>
      <c r="AH41" s="2392" t="s">
        <v>510</v>
      </c>
      <c r="AI41" s="2355"/>
      <c r="AJ41" s="2355"/>
      <c r="AK41" s="2393"/>
      <c r="AL41" s="2392" t="s">
        <v>511</v>
      </c>
      <c r="AM41" s="2355"/>
      <c r="AN41" s="2355"/>
      <c r="AO41" s="2393"/>
      <c r="AP41" s="2392" t="s">
        <v>512</v>
      </c>
      <c r="AQ41" s="2355"/>
      <c r="AR41" s="2355"/>
      <c r="AS41" s="2393"/>
      <c r="AT41" s="2338" t="s">
        <v>431</v>
      </c>
      <c r="AU41" s="2339"/>
      <c r="AV41" s="2339"/>
      <c r="AW41" s="2339"/>
      <c r="AX41" s="2339"/>
      <c r="AY41" s="2339"/>
      <c r="AZ41" s="2340"/>
      <c r="BA41" s="2341" t="s">
        <v>432</v>
      </c>
      <c r="BB41" s="2344" t="s">
        <v>434</v>
      </c>
      <c r="BC41" s="2191"/>
      <c r="BI41" s="1219">
        <v>14</v>
      </c>
    </row>
    <row customHeight="1" ht="35.699999999999996">
      <c r="Q42" s="355"/>
      <c r="R42" s="440"/>
      <c r="S42" s="2337"/>
      <c r="T42" s="2273"/>
      <c r="U42" s="1095"/>
      <c r="V42" s="2256" t="s">
        <v>513</v>
      </c>
      <c r="W42" s="2257"/>
      <c r="X42" s="2256" t="s">
        <v>514</v>
      </c>
      <c r="Y42" s="2257"/>
      <c r="Z42" s="2358" t="s">
        <v>515</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513</v>
      </c>
      <c r="AU42" s="2257"/>
      <c r="AV42" s="2256" t="s">
        <v>514</v>
      </c>
      <c r="AW42" s="2257"/>
      <c r="AX42" s="2358" t="s">
        <v>515</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136</v>
      </c>
      <c r="C44" s="1434" t="s">
        <v>137</v>
      </c>
      <c r="D44" s="1434" t="s">
        <v>138</v>
      </c>
      <c r="E44" s="1428" t="s">
        <v>439</v>
      </c>
      <c r="F44" s="1428" t="s">
        <v>440</v>
      </c>
      <c r="G44" s="1428" t="s">
        <v>441</v>
      </c>
      <c r="H44" s="1428" t="s">
        <v>442</v>
      </c>
      <c r="I44" s="1428" t="s">
        <v>443</v>
      </c>
      <c r="J44" s="1428" t="s">
        <v>444</v>
      </c>
      <c r="K44" s="1428" t="s">
        <v>445</v>
      </c>
      <c r="L44" s="1428" t="s">
        <v>420</v>
      </c>
      <c r="Q44" s="355"/>
      <c r="R44" s="440"/>
      <c r="S44" s="2337"/>
      <c r="T44" s="2273"/>
      <c r="U44" s="366"/>
      <c r="V44" s="1543" t="s">
        <v>479</v>
      </c>
      <c r="W44" s="1543" t="s">
        <v>480</v>
      </c>
      <c r="X44" s="1543" t="s">
        <v>479</v>
      </c>
      <c r="Y44" s="1543" t="s">
        <v>480</v>
      </c>
      <c r="Z44" s="1553" t="s">
        <v>448</v>
      </c>
      <c r="AA44" s="2334" t="s">
        <v>449</v>
      </c>
      <c r="AB44" s="2335"/>
      <c r="AC44" s="2343"/>
      <c r="AD44" s="2397"/>
      <c r="AE44" s="2398"/>
      <c r="AF44" s="2398"/>
      <c r="AG44" s="2399"/>
      <c r="AH44" s="2397"/>
      <c r="AI44" s="2398"/>
      <c r="AJ44" s="2398"/>
      <c r="AK44" s="2399"/>
      <c r="AL44" s="2397"/>
      <c r="AM44" s="2398"/>
      <c r="AN44" s="2398"/>
      <c r="AO44" s="2399"/>
      <c r="AP44" s="2397"/>
      <c r="AQ44" s="2398"/>
      <c r="AR44" s="2398"/>
      <c r="AS44" s="2399"/>
      <c r="AT44" s="1543" t="s">
        <v>479</v>
      </c>
      <c r="AU44" s="1543" t="s">
        <v>480</v>
      </c>
      <c r="AV44" s="1543" t="s">
        <v>479</v>
      </c>
      <c r="AW44" s="1543" t="s">
        <v>480</v>
      </c>
      <c r="AX44" s="1553" t="s">
        <v>448</v>
      </c>
      <c r="AY44" s="2334" t="s">
        <v>449</v>
      </c>
      <c r="AZ44" s="2335"/>
      <c r="BA44" s="2343"/>
      <c r="BB44" s="2346"/>
      <c r="BC44" s="2191"/>
      <c r="BI44" s="1219">
        <v>14</v>
      </c>
    </row>
    <row s="3710"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110</v>
      </c>
      <c r="T45" s="1319" t="s">
        <v>111</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265</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124</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265</v>
      </c>
      <c r="B47" s="1427" t="s">
        <v>266</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36">
      <c r="A48" s="1427" t="s">
        <v>265</v>
      </c>
      <c r="B48" s="1427" t="s">
        <v>266</v>
      </c>
      <c r="C48" s="1427" t="s">
        <v>267</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531</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532</v>
      </c>
      <c r="BE48" s="564"/>
      <c r="BF48" s="564" t="str">
        <f>IF(T48="","",T48)</f>
        <v>Наименование централизованной системы горячего водоснабжения</v>
      </c>
      <c r="BG48" s="564"/>
      <c r="BH48" s="564"/>
      <c r="BI48" s="1219">
        <v>34</v>
      </c>
    </row>
    <row s="4976" customFormat="1" customHeight="1" ht="0">
      <c r="A49" s="1407" t="s">
        <v>265</v>
      </c>
      <c r="B49" s="1407" t="s">
        <v>266</v>
      </c>
      <c r="C49" s="1407" t="s">
        <v>267</v>
      </c>
      <c r="D49" s="1407" t="s">
        <v>548</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976" customFormat="1" customHeight="1" ht="0">
      <c r="A50" s="1407" t="s">
        <v>265</v>
      </c>
      <c r="B50" s="1407" t="s">
        <v>266</v>
      </c>
      <c r="C50" s="1407" t="s">
        <v>267</v>
      </c>
      <c r="D50" s="1407" t="s">
        <v>548</v>
      </c>
      <c r="E50" s="2323"/>
      <c r="F50" s="2323"/>
      <c r="G50" s="2323"/>
      <c r="H50" s="2323"/>
      <c r="I50" s="2320" t="str">
        <f>S49&amp;".1"</f>
        <v>.1</v>
      </c>
      <c r="J50" s="1407"/>
      <c r="K50" s="1407"/>
      <c r="L50" s="1410" t="s">
        <v>407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976" customFormat="1" customHeight="1" ht="0">
      <c r="A51" s="1407" t="s">
        <v>265</v>
      </c>
      <c r="B51" s="1407" t="s">
        <v>266</v>
      </c>
      <c r="C51" s="1407" t="s">
        <v>267</v>
      </c>
      <c r="D51" s="1407" t="s">
        <v>548</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265</v>
      </c>
      <c r="B52" s="1427" t="s">
        <v>266</v>
      </c>
      <c r="C52" s="1427" t="s">
        <v>267</v>
      </c>
      <c r="D52" s="1427" t="s">
        <v>548</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62</v>
      </c>
      <c r="AB52" s="1798"/>
      <c r="AC52" s="1533" t="s">
        <v>62</v>
      </c>
      <c r="AD52" s="2249" t="s">
        <v>62</v>
      </c>
      <c r="AE52" s="2390"/>
      <c r="AF52" s="2269">
        <v>1</v>
      </c>
      <c r="AG52" s="2427">
        <v>40.52</v>
      </c>
      <c r="AH52" s="2171" t="s">
        <v>19</v>
      </c>
      <c r="AI52" s="2390"/>
      <c r="AJ52" s="2269">
        <v>1</v>
      </c>
      <c r="AK52" s="4833" t="s">
        <v>28</v>
      </c>
      <c r="AL52" s="2171" t="s">
        <v>19</v>
      </c>
      <c r="AM52" s="2256"/>
      <c r="AN52" s="2269">
        <v>1</v>
      </c>
      <c r="AO52" s="4834" t="s">
        <v>28</v>
      </c>
      <c r="AP52" s="2422" t="s">
        <v>19</v>
      </c>
      <c r="AQ52" s="375"/>
      <c r="AR52" s="1550">
        <v>1</v>
      </c>
      <c r="AS52" s="4835" t="s">
        <v>28</v>
      </c>
      <c r="AT52" s="815">
        <f>AU52*1.2</f>
        <v>0.036</v>
      </c>
      <c r="AU52" s="1321">
        <v>0.03</v>
      </c>
      <c r="AV52" s="815"/>
      <c r="AW52" s="1321"/>
      <c r="AX52" s="3983">
        <v>45658.549108796295</v>
      </c>
      <c r="AY52" s="1533" t="s">
        <v>62</v>
      </c>
      <c r="AZ52" s="3983">
        <v>46022.54918981482</v>
      </c>
      <c r="BA52" s="1533" t="s">
        <v>62</v>
      </c>
      <c r="BB52" s="1412"/>
      <c r="BC52" s="2317" t="s">
        <v>502</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4833" t="s">
        <v>28</v>
      </c>
      <c r="AL53" s="2171"/>
      <c r="AM53" s="2264"/>
      <c r="AN53" s="2269"/>
      <c r="AO53" s="4834" t="s">
        <v>28</v>
      </c>
      <c r="AP53" s="2423"/>
      <c r="AQ53" s="380"/>
      <c r="AR53" s="480"/>
      <c r="AS53" s="480" t="s">
        <v>503</v>
      </c>
      <c r="AT53" s="1457"/>
      <c r="AU53" s="1560"/>
      <c r="AV53" s="1457"/>
      <c r="AW53" s="1560"/>
      <c r="AX53" s="1457"/>
      <c r="AY53" s="1457"/>
      <c r="AZ53" s="1457"/>
      <c r="BA53" s="1457"/>
      <c r="BB53" s="1461"/>
      <c r="BC53" s="2318"/>
      <c r="BE53" s="564"/>
      <c r="BF53" s="564"/>
      <c r="BG53" s="564"/>
      <c r="BH53" s="564"/>
      <c r="BI53" s="1219">
        <v>11</v>
      </c>
    </row>
    <row customHeight="1" ht="11.549999999999999">
      <c r="A54" s="1427" t="s">
        <v>265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4833" t="s">
        <v>28</v>
      </c>
      <c r="AL54" s="2171"/>
      <c r="AM54" s="380"/>
      <c r="AN54" s="1564"/>
      <c r="AO54" s="1564" t="s">
        <v>504</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505</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265</v>
      </c>
      <c r="B56" s="1427" t="s">
        <v>266</v>
      </c>
      <c r="C56" s="1427" t="s">
        <v>267</v>
      </c>
      <c r="D56" s="1427" t="s">
        <v>548</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506</v>
      </c>
      <c r="AH56" s="1457"/>
      <c r="AI56" s="1457"/>
      <c r="AJ56" s="1457"/>
      <c r="AK56" s="1457"/>
      <c r="AL56" s="1457"/>
      <c r="AM56" s="1457"/>
      <c r="AN56" s="1457"/>
      <c r="AO56" s="1457"/>
      <c r="AP56" s="1457"/>
      <c r="AQ56" s="1457"/>
      <c r="AR56" s="1457"/>
      <c r="AS56" s="1457"/>
      <c r="AT56" s="1457"/>
      <c r="AU56" s="1458" t="str">
        <f>AX52&amp;"-"&amp;AZ52</f>
        <v>45658.549108796295-46022.54918981482</v>
      </c>
      <c r="AV56" s="1457"/>
      <c r="AW56" s="1458" t="str">
        <f>AZ52&amp;"-"&amp;BB52</f>
        <v>46022.54918981482-</v>
      </c>
      <c r="AX56" s="1457"/>
      <c r="AY56" s="1457"/>
      <c r="AZ56" s="1457"/>
      <c r="BA56" s="1457"/>
      <c r="BB56" s="1460" t="str">
        <f>BE52&amp;"-"&amp;BG52</f>
        <v>-</v>
      </c>
      <c r="BC56" s="2318"/>
      <c r="BE56" s="564"/>
      <c r="BF56" s="564" t="str">
        <f>IF(T56="","",T56)</f>
        <v/>
      </c>
      <c r="BG56" s="564"/>
      <c r="BH56" s="564"/>
      <c r="BI56" s="1219">
        <v>11</v>
      </c>
    </row>
    <row customHeight="1" ht="11.549999999999999">
      <c r="A57" s="1427" t="s">
        <v>265</v>
      </c>
      <c r="B57" s="1427" t="s">
        <v>266</v>
      </c>
      <c r="C57" s="1427" t="s">
        <v>267</v>
      </c>
      <c r="D57" s="1427" t="s">
        <v>548</v>
      </c>
      <c r="E57" s="2323"/>
      <c r="F57" s="2323"/>
      <c r="G57" s="2323"/>
      <c r="H57" s="2323"/>
      <c r="I57" s="2350"/>
      <c r="J57" s="2320"/>
      <c r="K57" s="1427"/>
      <c r="L57" s="1428"/>
      <c r="P57" s="2321"/>
      <c r="Q57" s="2321"/>
      <c r="R57" s="420"/>
      <c r="S57" s="1342"/>
      <c r="T57" s="351" t="s">
        <v>469</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976" customFormat="1" customHeight="1" ht="0">
      <c r="A58" s="1407" t="s">
        <v>265</v>
      </c>
      <c r="B58" s="1407" t="s">
        <v>266</v>
      </c>
      <c r="C58" s="1407" t="s">
        <v>267</v>
      </c>
      <c r="D58" s="1407" t="s">
        <v>548</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976" customFormat="1" customHeight="1" ht="0">
      <c r="A59" s="1407" t="s">
        <v>265</v>
      </c>
      <c r="B59" s="1407" t="s">
        <v>266</v>
      </c>
      <c r="C59" s="1407" t="s">
        <v>267</v>
      </c>
      <c r="D59" s="1407" t="s">
        <v>548</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976" customFormat="1" customHeight="1" ht="0">
      <c r="A60" s="1407" t="s">
        <v>265</v>
      </c>
      <c r="B60" s="1407" t="s">
        <v>266</v>
      </c>
      <c r="C60" s="1407" t="s">
        <v>267</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976" customFormat="1" customHeight="1" ht="0">
      <c r="A61" s="1407" t="s">
        <v>265</v>
      </c>
      <c r="B61" s="1407" t="s">
        <v>266</v>
      </c>
      <c r="C61" s="1378"/>
      <c r="D61" s="1378"/>
      <c r="E61" s="2323"/>
      <c r="F61" s="2322"/>
      <c r="G61" s="1378"/>
      <c r="H61" s="1378"/>
      <c r="I61" s="1378"/>
      <c r="J61" s="1378"/>
      <c r="K61" s="1378"/>
      <c r="L61" s="1558"/>
      <c r="M61" s="1385"/>
      <c r="N61" s="1385"/>
      <c r="P61" s="1380"/>
      <c r="Q61" s="1381"/>
      <c r="R61" s="1380"/>
      <c r="S61" s="1386"/>
      <c r="T61" s="1389" t="s">
        <v>255</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976" customFormat="1" customHeight="1" ht="0">
      <c r="A62" s="1407" t="s">
        <v>265</v>
      </c>
      <c r="B62" s="1407"/>
      <c r="C62" s="1407"/>
      <c r="D62" s="1407"/>
      <c r="E62" s="2322"/>
      <c r="F62" s="1407"/>
      <c r="G62" s="1407"/>
      <c r="H62" s="1407"/>
      <c r="I62" s="1407"/>
      <c r="J62" s="1407"/>
      <c r="K62" s="1407"/>
      <c r="L62" s="1410"/>
      <c r="M62" s="1385"/>
      <c r="N62" s="1385"/>
      <c r="O62" s="582"/>
      <c r="P62" s="444"/>
      <c r="Q62" s="1408"/>
      <c r="R62" s="444"/>
      <c r="S62" s="1386"/>
      <c r="T62" s="1389" t="s">
        <v>256</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976"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257</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83</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B6C71-AA18-AA7A-9F4B-0.EAC59FA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851" width="10.7109375" hidden="1" customWidth="1"/>
    <col min="2" max="2" style="5416" width="16.8515625" hidden="1" customWidth="1"/>
    <col min="3" max="3" style="4976" width="5.57421875" hidden="1" customWidth="1"/>
    <col min="4" max="4" style="5468" width="3.00390625" customWidth="1"/>
    <col min="5" max="5" style="5468" width="7.00390625" customWidth="1"/>
    <col min="6" max="6" style="5468" width="54.00390625" customWidth="1"/>
    <col min="7" max="7" style="5468" width="10.00390625" customWidth="1"/>
    <col min="8" max="8" style="5468" width="40.7109375" hidden="1" customWidth="1"/>
    <col min="9" max="9" style="5468" width="40.7109375" customWidth="1"/>
    <col min="10" max="10" style="5468" width="102.00390625" customWidth="1"/>
    <col min="11" max="11" style="5416" width="9.00390625" customWidth="1"/>
    <col min="12" max="12" style="4976" width="5.00390625" customWidth="1"/>
    <col min="13" max="13" style="4976" width="3.00390625" customWidth="1"/>
    <col min="14" max="17" style="5416" width="3.00390625" customWidth="1"/>
    <col min="18" max="18" style="4976" width="10.00390625" customWidth="1"/>
    <col min="19" max="19" style="5416" width="34.00390625" customWidth="1"/>
    <col min="20" max="20" style="5416" width="9.00390625" customWidth="1"/>
    <col min="21" max="21" style="4921" width="8.00390625" customWidth="1"/>
    <col min="22" max="26" style="5416" width="8.00390625" customWidth="1"/>
    <col min="27" max="31" style="5712" width="8.00390625" customWidth="1"/>
    <col min="32" max="32" style="5468" width="9.140625" hidden="1"/>
  </cols>
  <sheetData>
    <row customHeight="1" ht="22.5" hidden="1">
      <c r="AF1" s="1695" t="s">
        <v>14</v>
      </c>
    </row>
    <row customHeight="1" ht="23.25" hidden="1">
      <c r="B2" s="2163"/>
      <c r="C2" s="1231" t="s">
        <v>549</v>
      </c>
      <c r="D2" s="1702"/>
      <c r="E2" s="610">
        <f>B2</f>
        <v>0</v>
      </c>
      <c r="F2" s="611"/>
      <c r="G2" s="1710" t="s">
        <v>550</v>
      </c>
      <c r="H2" s="1710" t="s">
        <v>550</v>
      </c>
      <c r="I2" s="1710" t="s">
        <v>550</v>
      </c>
      <c r="J2" s="353" t="s">
        <v>551</v>
      </c>
      <c r="K2" s="607"/>
      <c r="AF2" s="1695">
        <v>0</v>
      </c>
    </row>
    <row s="4976" customFormat="1" customHeight="1" ht="0.75" hidden="1">
      <c r="B3" s="2163"/>
      <c r="C3" s="1231"/>
      <c r="D3" s="612"/>
      <c r="E3" s="613"/>
      <c r="F3" s="614" t="s">
        <v>552</v>
      </c>
      <c r="G3" s="615"/>
      <c r="H3" s="615">
        <f>H4*H5+H7</f>
        <v>0</v>
      </c>
      <c r="I3" s="615">
        <f>I4*I5+I6</f>
        <v>0</v>
      </c>
      <c r="J3" s="616"/>
      <c r="AF3" s="1700">
        <v>0</v>
      </c>
    </row>
    <row customHeight="1" ht="23.25" hidden="1">
      <c r="B4" s="2163"/>
      <c r="C4" s="1231"/>
      <c r="D4" s="1702"/>
      <c r="E4" s="610" t="str">
        <f>B2&amp;".1"</f>
        <v>.1</v>
      </c>
      <c r="F4" s="617" t="s">
        <v>553</v>
      </c>
      <c r="G4" s="618"/>
      <c r="H4" s="605"/>
      <c r="I4" s="605"/>
      <c r="J4" s="353" t="s">
        <v>554</v>
      </c>
      <c r="K4" s="607"/>
      <c r="AF4" s="1695">
        <v>0</v>
      </c>
    </row>
    <row customHeight="1" ht="18.75" hidden="1">
      <c r="B5" s="2163"/>
      <c r="C5" s="1231"/>
      <c r="D5" s="1702"/>
      <c r="E5" s="610" t="str">
        <f>B2&amp;".2"</f>
        <v>.2</v>
      </c>
      <c r="F5" s="617" t="s">
        <v>555</v>
      </c>
      <c r="G5" s="1710" t="s">
        <v>556</v>
      </c>
      <c r="H5" s="605"/>
      <c r="I5" s="605"/>
      <c r="J5" s="353"/>
      <c r="K5" s="607"/>
      <c r="AF5" s="1695">
        <v>0</v>
      </c>
    </row>
    <row customHeight="1" ht="18.75" hidden="1">
      <c r="B6" s="2163"/>
      <c r="C6" s="1231"/>
      <c r="D6" s="1702"/>
      <c r="E6" s="610" t="str">
        <f>B2&amp;".3"</f>
        <v>.3</v>
      </c>
      <c r="F6" s="617" t="s">
        <v>557</v>
      </c>
      <c r="G6" s="1710" t="s">
        <v>556</v>
      </c>
      <c r="H6" s="605"/>
      <c r="I6" s="605"/>
      <c r="J6" s="353"/>
      <c r="K6" s="607"/>
      <c r="AF6" s="1695">
        <v>0</v>
      </c>
    </row>
    <row customHeight="1" ht="18.75" hidden="1">
      <c r="B7" s="2163"/>
      <c r="C7" s="1231"/>
      <c r="D7" s="1702"/>
      <c r="E7" s="610" t="str">
        <f>B2&amp;".4"</f>
        <v>.4</v>
      </c>
      <c r="F7" s="617" t="s">
        <v>558</v>
      </c>
      <c r="G7" s="1710" t="s">
        <v>550</v>
      </c>
      <c r="H7" s="619"/>
      <c r="I7" s="619"/>
      <c r="J7" s="353"/>
      <c r="K7" s="607"/>
      <c r="AF7" s="1695">
        <v>0</v>
      </c>
    </row>
    <row s="5416" customFormat="1" customHeight="1" ht="11.25" hidden="1">
      <c r="A8" s="1051"/>
      <c r="C8" s="1700"/>
      <c r="D8" s="601"/>
      <c r="H8" s="1224">
        <v>4</v>
      </c>
      <c r="I8" s="1224">
        <v>4</v>
      </c>
      <c r="L8" s="1700"/>
      <c r="M8" s="1700"/>
      <c r="R8" s="1700"/>
      <c r="AF8" s="1224">
        <v>0</v>
      </c>
    </row>
    <row s="5416" customFormat="1" customHeight="1" ht="22.5" hidden="1">
      <c r="A9" s="1051"/>
      <c r="C9" s="1700"/>
      <c r="D9" s="602"/>
      <c r="E9" s="1712"/>
      <c r="F9" s="604"/>
      <c r="G9" s="1710" t="s">
        <v>556</v>
      </c>
      <c r="H9" s="605"/>
      <c r="I9" s="605"/>
      <c r="J9" s="606" t="s">
        <v>559</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560</v>
      </c>
      <c r="H11" s="605"/>
      <c r="I11" s="605"/>
      <c r="J11" s="353" t="s">
        <v>561</v>
      </c>
      <c r="K11" s="607"/>
      <c r="AF11" s="1695">
        <v>0</v>
      </c>
    </row>
    <row customHeight="1" ht="11.25" hidden="1">
      <c r="AF12" s="1695">
        <v>0</v>
      </c>
    </row>
    <row customHeight="1" ht="22.5" hidden="1">
      <c r="D13" s="1702"/>
      <c r="E13" s="610"/>
      <c r="F13" s="604"/>
      <c r="G13" s="1033" t="s">
        <v>562</v>
      </c>
      <c r="H13" s="609"/>
      <c r="I13" s="609"/>
      <c r="J13" s="809" t="s">
        <v>563</v>
      </c>
      <c r="K13" s="607"/>
      <c r="AF13" s="1695">
        <v>0</v>
      </c>
    </row>
    <row customHeight="1" ht="11.25" hidden="1">
      <c r="AF14" s="1695">
        <v>0</v>
      </c>
    </row>
    <row customHeight="1" ht="22.5" hidden="1">
      <c r="D15" s="1702"/>
      <c r="E15" s="610"/>
      <c r="F15" s="604"/>
      <c r="G15" s="1710" t="s">
        <v>564</v>
      </c>
      <c r="H15" s="609"/>
      <c r="I15" s="609"/>
      <c r="J15" s="353" t="s">
        <v>565</v>
      </c>
      <c r="K15" s="607"/>
      <c r="AF15" s="1695">
        <v>0</v>
      </c>
    </row>
    <row customHeight="1" ht="11.25" hidden="1">
      <c r="AF16" s="1695">
        <v>0</v>
      </c>
    </row>
    <row customHeight="1" ht="22.5" hidden="1">
      <c r="D17" s="1702"/>
      <c r="E17" s="610"/>
      <c r="F17" s="604"/>
      <c r="G17" s="1710" t="s">
        <v>566</v>
      </c>
      <c r="H17" s="609"/>
      <c r="I17" s="609"/>
      <c r="J17" s="353" t="s">
        <v>567</v>
      </c>
      <c r="K17" s="607"/>
      <c r="AF17" s="1695">
        <v>0</v>
      </c>
    </row>
    <row customHeight="1" ht="11.25" hidden="1">
      <c r="AF18" s="1695">
        <v>0</v>
      </c>
    </row>
    <row s="571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2"/>
      <c r="G21" s="2312"/>
      <c r="H21" s="2312"/>
      <c r="I21" s="2312"/>
      <c r="J21" s="620"/>
      <c r="AF21" s="1695">
        <v>24</v>
      </c>
    </row>
    <row customHeight="1" ht="25.2">
      <c r="E22" s="2313" t="str">
        <f>IF(org=0,"Не определено",org)</f>
        <v>Нарьян-Марское МУ ПОКиТС</v>
      </c>
      <c r="F22" s="2313"/>
      <c r="G22" s="2313"/>
      <c r="H22" s="2313"/>
      <c r="I22" s="2313"/>
      <c r="AF22" s="1695">
        <v>24</v>
      </c>
    </row>
    <row customHeight="1" ht="11.549999999999999">
      <c r="E23" s="1199"/>
      <c r="F23" s="1199"/>
      <c r="G23" s="1199"/>
      <c r="H23" s="1199"/>
      <c r="I23" s="1199"/>
      <c r="AF23" s="1695">
        <v>11</v>
      </c>
    </row>
    <row s="4976" customFormat="1" customHeight="1" ht="1.05">
      <c r="A24" s="1231"/>
      <c r="D24" s="1706"/>
      <c r="H24" s="953"/>
      <c r="I24" s="953" t="s">
        <v>118</v>
      </c>
      <c r="AF24" s="1700">
        <v>1</v>
      </c>
    </row>
    <row customHeight="1" ht="11.549999999999999">
      <c r="E25" s="775"/>
      <c r="F25" s="2431" t="s">
        <v>106</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568</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569</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304</v>
      </c>
      <c r="F28" s="2434"/>
      <c r="G28" s="2434"/>
      <c r="H28" s="1709"/>
      <c r="I28" s="1709"/>
      <c r="J28" s="2191"/>
      <c r="AF28" s="1695">
        <v>11</v>
      </c>
    </row>
    <row customHeight="1" ht="24">
      <c r="E29" s="1710" t="s">
        <v>89</v>
      </c>
      <c r="F29" s="1717" t="s">
        <v>306</v>
      </c>
      <c r="G29" s="1717" t="s">
        <v>570</v>
      </c>
      <c r="H29" s="1717" t="s">
        <v>307</v>
      </c>
      <c r="I29" s="1717" t="s">
        <v>307</v>
      </c>
      <c r="J29" s="2191"/>
      <c r="AF29" s="1695">
        <v>23</v>
      </c>
    </row>
    <row customHeight="1" ht="19.95">
      <c r="D30" s="1702"/>
      <c r="E30" s="610">
        <f>FHD_NUM_P_1</f>
        <v>1</v>
      </c>
      <c r="F30" s="1944" t="str">
        <f>FHD_P_1</f>
        <v>Выручка от регулируемых видов деятельности в сфере горячего водоснабжения</v>
      </c>
      <c r="G30" s="1942" t="s">
        <v>556</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горячего водоснабжения, включая:</v>
      </c>
      <c r="G31" s="1942" t="s">
        <v>556</v>
      </c>
      <c r="H31" s="622">
        <f>SUMIF($K33:$K71,$K31,H33:H71)</f>
        <v>0</v>
      </c>
      <c r="I31" s="622">
        <f>SUMIF($K33:$K71,$K31,I33:I71)</f>
        <v>0</v>
      </c>
      <c r="J31" s="353" t="str">
        <f>FHD_NOTE_P_2</f>
        <v>Указывается суммарная себестоимость производимых товаров.</v>
      </c>
      <c r="K31" s="1700" t="s">
        <v>571</v>
      </c>
      <c r="AF31" s="1695">
        <v>11</v>
      </c>
    </row>
    <row customHeight="1" ht="11.549999999999999">
      <c r="D32" s="1702"/>
      <c r="E32" s="610" t="str">
        <f>FHD_NUM_P_3</f>
        <v>2.1</v>
      </c>
      <c r="F32" s="1588" t="str">
        <f>FHD_P_3</f>
        <v>Расходы на приобретаемую тепловую энергию (мощность), используемую для горячего водоснабжения</v>
      </c>
      <c r="G32" s="1942" t="s">
        <v>556</v>
      </c>
      <c r="H32" s="621"/>
      <c r="I32" s="621"/>
      <c r="J32" s="353" t="str">
        <f>FHD_NOTE_P_3</f>
        <v/>
      </c>
      <c r="K32" s="1700" t="str">
        <f>IF((LEN(E32)-LEN(SUBSTITUTE(E32,".","")))/LEN(".")=1,"p","")</f>
        <v>p</v>
      </c>
      <c r="AF32" s="1695">
        <v>11</v>
      </c>
    </row>
    <row customHeight="1" ht="11.25" hidden="1">
      <c r="A33" s="2435" t="s">
        <v>572</v>
      </c>
      <c r="D33" s="1702"/>
      <c r="E33" s="610" t="str">
        <f>FHD_NUM_P_4</f>
        <v/>
      </c>
      <c r="F33" s="1588" t="str">
        <f>FHD_P_4</f>
        <v/>
      </c>
      <c r="G33" s="1942" t="s">
        <v>556</v>
      </c>
      <c r="H33" s="622">
        <f>SUMIF($F34:$F40,$F3,H34:H40)</f>
        <v>0</v>
      </c>
      <c r="I33" s="622">
        <f>SUMIF($F34:$F40,$F3,I34:I40)</f>
        <v>0</v>
      </c>
      <c r="J33" s="353" t="str">
        <f>FHD_NOTE_P_4</f>
        <v/>
      </c>
      <c r="K33" s="1700" t="str">
        <f>IF((LEN(E33)-LEN(SUBSTITUTE(E33,".","")))/LEN(".")=1,"p","")</f>
        <v/>
      </c>
      <c r="AF33" s="1695">
        <v>0</v>
      </c>
    </row>
    <row s="3710"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710"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710"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710"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710"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710"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5416" customFormat="1" customHeight="1" ht="15" hidden="1">
      <c r="A40" s="2435"/>
      <c r="C40" s="1700"/>
      <c r="D40" s="1697"/>
      <c r="E40" s="634"/>
      <c r="F40" s="635" t="s">
        <v>573</v>
      </c>
      <c r="G40" s="636"/>
      <c r="H40" s="637"/>
      <c r="I40" s="637"/>
      <c r="J40" s="365"/>
      <c r="K40" s="1700" t="str">
        <f>IF((LEN(E40)-LEN(SUBSTITUTE(E40,".","")))/LEN(".")=1,"p","")</f>
        <v/>
      </c>
      <c r="L40" s="1700"/>
      <c r="M40" s="1700"/>
      <c r="R40" s="1700"/>
      <c r="U40" s="608"/>
      <c r="AA40" s="1696"/>
      <c r="AB40" s="1696"/>
      <c r="AC40" s="1696"/>
      <c r="AD40" s="1696"/>
      <c r="AE40" s="1696"/>
      <c r="AF40" s="1224">
        <v>0</v>
      </c>
    </row>
    <row customHeight="1" ht="11.25">
      <c r="A41" s="2435" t="s">
        <v>574</v>
      </c>
      <c r="D41" s="1702"/>
      <c r="E41" s="610" t="str">
        <f>FHD_NUM_P_5</f>
        <v>2.2</v>
      </c>
      <c r="F41" s="1588" t="str">
        <f>FHD_P_5</f>
        <v>Расходы на тепловую энергию, производимую с применением собственных источников и используемую для горячего водоснабжения</v>
      </c>
      <c r="G41" s="1942" t="s">
        <v>556</v>
      </c>
      <c r="H41" s="621"/>
      <c r="I41" s="621"/>
      <c r="J41" s="353" t="str">
        <f>FHD_NOTE_P_5</f>
        <v/>
      </c>
      <c r="K41" s="1700" t="str">
        <f>IF((LEN(E41)-LEN(SUBSTITUTE(E41,".","")))/LEN(".")=1,"p","")</f>
        <v>p</v>
      </c>
      <c r="AF41" s="1695">
        <v>0</v>
      </c>
    </row>
    <row customHeight="1" ht="11.25">
      <c r="A42" s="2435"/>
      <c r="D42" s="1702"/>
      <c r="E42" s="610" t="str">
        <f>FHD_NUM_P_6</f>
        <v>2.3</v>
      </c>
      <c r="F42" s="1588" t="str">
        <f>FHD_P_6</f>
        <v>Расходы на приобретаемую холодную воду, используемую для горячего водоснабжения</v>
      </c>
      <c r="G42" s="1942" t="s">
        <v>556</v>
      </c>
      <c r="H42" s="621"/>
      <c r="I42" s="621"/>
      <c r="J42" s="353" t="str">
        <f>FHD_NOTE_P_6</f>
        <v/>
      </c>
      <c r="K42" s="1700" t="str">
        <f>IF((LEN(E42)-LEN(SUBSTITUTE(E42,".","")))/LEN(".")=1,"p","")</f>
        <v>p</v>
      </c>
      <c r="AF42" s="1695">
        <v>0</v>
      </c>
    </row>
    <row customHeight="1" ht="11.25">
      <c r="A43" s="2435"/>
      <c r="D43" s="1702"/>
      <c r="E43" s="610" t="str">
        <f>FHD_NUM_P_7</f>
        <v>2.4</v>
      </c>
      <c r="F43" s="158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2" t="s">
        <v>556</v>
      </c>
      <c r="H43" s="621"/>
      <c r="I43" s="621"/>
      <c r="J43" s="353" t="str">
        <f>FHD_NOTE_P_7</f>
        <v/>
      </c>
      <c r="K43" s="1700" t="str">
        <f>IF((LEN(E43)-LEN(SUBSTITUTE(E43,".","")))/LEN(".")=1,"p","")</f>
        <v>p</v>
      </c>
      <c r="AF43" s="1695">
        <v>0</v>
      </c>
    </row>
    <row customHeight="1" ht="11.549999999999999">
      <c r="D44" s="1702"/>
      <c r="E44" s="610" t="str">
        <f>FHD_NUM_P_8</f>
        <v>2.5</v>
      </c>
      <c r="F44" s="1588" t="str">
        <f>FHD_P_8</f>
        <v>Расходы на приобретаемую электрическую энергию (мощность), используемую в технологическом процессе</v>
      </c>
      <c r="G44" s="1942" t="s">
        <v>556</v>
      </c>
      <c r="H44" s="621"/>
      <c r="I44" s="621"/>
      <c r="J44" s="353" t="str">
        <f>FHD_NOTE_P_8</f>
        <v/>
      </c>
      <c r="K44" s="1700" t="str">
        <f>IF((LEN(E44)-LEN(SUBSTITUTE(E44,".","")))/LEN(".")=1,"p","")</f>
        <v>p</v>
      </c>
      <c r="AF44" s="1695">
        <v>11</v>
      </c>
    </row>
    <row customHeight="1" ht="11.549999999999999">
      <c r="D45" s="1702"/>
      <c r="E45" s="610" t="str">
        <f>FHD_NUM_P_9</f>
        <v>2.5.1</v>
      </c>
      <c r="F45" s="1714" t="str">
        <f>FHD_P_9</f>
        <v>Средневзвешенная стоимость 1 кВт.ч (с учетом мощности)</v>
      </c>
      <c r="G45" s="1942" t="s">
        <v>575</v>
      </c>
      <c r="H45" s="621"/>
      <c r="I45" s="621"/>
      <c r="J45" s="353" t="str">
        <f>FHD_NOTE_P_9</f>
        <v/>
      </c>
      <c r="K45" s="1700" t="str">
        <f>IF((LEN(E45)-LEN(SUBSTITUTE(E45,".","")))/LEN(".")=1,"p","")</f>
        <v/>
      </c>
      <c r="AF45" s="1695">
        <v>11</v>
      </c>
    </row>
    <row s="5416" customFormat="1" customHeight="1" ht="11.549999999999999">
      <c r="A46" s="1051"/>
      <c r="C46" s="1700"/>
      <c r="D46" s="638"/>
      <c r="E46" s="610" t="str">
        <f>FHD_NUM_P_10</f>
        <v>2.5.2</v>
      </c>
      <c r="F46" s="1714" t="str">
        <f>FHD_P_10</f>
        <v>Объём приобретения электрической энергии</v>
      </c>
      <c r="G46" s="1942" t="s">
        <v>576</v>
      </c>
      <c r="H46" s="621"/>
      <c r="I46" s="621"/>
      <c r="J46" s="353" t="str">
        <f>FHD_NOTE_P_10</f>
        <v/>
      </c>
      <c r="K46" s="1700" t="str">
        <f>IF((LEN(E46)-LEN(SUBSTITUTE(E46,".","")))/LEN(".")=1,"p","")</f>
        <v/>
      </c>
      <c r="L46" s="1700"/>
      <c r="M46" s="1700"/>
      <c r="R46" s="1700"/>
      <c r="U46" s="608"/>
      <c r="AA46" s="1696"/>
      <c r="AB46" s="1696"/>
      <c r="AC46" s="1696"/>
      <c r="AD46" s="1696"/>
      <c r="AE46" s="1696"/>
      <c r="AF46" s="1224">
        <v>11</v>
      </c>
    </row>
    <row s="5416" customFormat="1" customHeight="1" ht="11.25" hidden="1">
      <c r="A47" s="1053" t="s">
        <v>577</v>
      </c>
      <c r="C47" s="1700"/>
      <c r="D47" s="639"/>
      <c r="E47" s="610" t="str">
        <f>FHD_NUM_P_11</f>
        <v/>
      </c>
      <c r="F47" s="1588" t="str">
        <f>FHD_P_11</f>
        <v/>
      </c>
      <c r="G47" s="1942" t="s">
        <v>556</v>
      </c>
      <c r="H47" s="621"/>
      <c r="I47" s="621"/>
      <c r="J47" s="353" t="str">
        <f>FHD_NOTE_P_11</f>
        <v/>
      </c>
      <c r="K47" s="1700" t="str">
        <f>IF((LEN(E47)-LEN(SUBSTITUTE(E47,".","")))/LEN(".")=1,"p","")</f>
        <v/>
      </c>
      <c r="L47" s="1700"/>
      <c r="M47" s="1700"/>
      <c r="R47" s="1700"/>
      <c r="U47" s="608"/>
      <c r="AA47" s="1696"/>
      <c r="AB47" s="1696"/>
      <c r="AC47" s="1696"/>
      <c r="AD47" s="1696"/>
      <c r="AE47" s="1696"/>
      <c r="AF47" s="1224">
        <v>0</v>
      </c>
    </row>
    <row s="5416" customFormat="1" customHeight="1" ht="18.75" hidden="1">
      <c r="A48" s="1053" t="s">
        <v>578</v>
      </c>
      <c r="C48" s="1700"/>
      <c r="D48" s="1702"/>
      <c r="E48" s="610" t="str">
        <f>FHD_NUM_P_12</f>
        <v/>
      </c>
      <c r="F48" s="1588" t="str">
        <f>FHD_P_12</f>
        <v/>
      </c>
      <c r="G48" s="1942" t="s">
        <v>556</v>
      </c>
      <c r="H48" s="641"/>
      <c r="I48" s="641"/>
      <c r="J48" s="353" t="str">
        <f>FHD_NOTE_P_12</f>
        <v/>
      </c>
      <c r="K48" s="1700" t="str">
        <f>IF((LEN(E48)-LEN(SUBSTITUTE(E48,".","")))/LEN(".")=1,"p","")</f>
        <v/>
      </c>
      <c r="L48" s="1700"/>
      <c r="M48" s="1700"/>
      <c r="R48" s="1700"/>
      <c r="U48" s="608"/>
      <c r="AA48" s="1696"/>
      <c r="AB48" s="1696"/>
      <c r="AC48" s="1696"/>
      <c r="AD48" s="1696"/>
      <c r="AE48" s="1696"/>
      <c r="AF48" s="1224">
        <v>18</v>
      </c>
    </row>
    <row s="3610"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556</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610"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556</v>
      </c>
      <c r="H50" s="621"/>
      <c r="I50" s="621"/>
      <c r="J50" s="353" t="str">
        <f>FHD_NOTE_P_14</f>
        <v/>
      </c>
      <c r="K50" s="1700" t="str">
        <f>IF((LEN(E50)-LEN(SUBSTITUTE(E50,".","")))/LEN(".")=1,"p","")</f>
        <v/>
      </c>
      <c r="L50" s="794"/>
      <c r="M50" s="794"/>
      <c r="R50" s="794"/>
      <c r="U50" s="795"/>
      <c r="AA50" s="796"/>
      <c r="AB50" s="796"/>
      <c r="AC50" s="796"/>
      <c r="AD50" s="796"/>
      <c r="AE50" s="796"/>
      <c r="AF50" s="793">
        <v>11</v>
      </c>
    </row>
    <row s="3610"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556</v>
      </c>
      <c r="H51" s="621"/>
      <c r="I51" s="621"/>
      <c r="J51" s="353" t="str">
        <f>FHD_NOTE_P_15</f>
        <v/>
      </c>
      <c r="K51" s="1700" t="str">
        <f>IF((LEN(E51)-LEN(SUBSTITUTE(E51,".","")))/LEN(".")=1,"p","")</f>
        <v/>
      </c>
      <c r="L51" s="794"/>
      <c r="M51" s="794"/>
      <c r="R51" s="794"/>
      <c r="U51" s="795"/>
      <c r="AA51" s="796"/>
      <c r="AB51" s="796"/>
      <c r="AC51" s="796"/>
      <c r="AD51" s="796"/>
      <c r="AE51" s="796"/>
      <c r="AF51" s="793">
        <v>11</v>
      </c>
    </row>
    <row s="5416"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556</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5416"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556</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5416"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556</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5416"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556</v>
      </c>
      <c r="H55" s="621"/>
      <c r="I55" s="621"/>
      <c r="J55" s="353" t="str">
        <f>FHD_NOTE_P_19</f>
        <v/>
      </c>
      <c r="K55" s="1700" t="str">
        <f>IF((LEN(E55)-LEN(SUBSTITUTE(E55,".","")))/LEN(".")=1,"p","")</f>
        <v>p</v>
      </c>
      <c r="L55" s="1700"/>
      <c r="M55" s="1700"/>
      <c r="R55" s="1700"/>
      <c r="U55" s="608"/>
      <c r="AA55" s="1696"/>
      <c r="AB55" s="1696"/>
      <c r="AC55" s="1696"/>
      <c r="AD55" s="1696"/>
      <c r="AE55" s="1696"/>
      <c r="AF55" s="1224">
        <v>11</v>
      </c>
    </row>
    <row s="5416" customFormat="1" customHeight="1" ht="11.549999999999999">
      <c r="A56" s="1051"/>
      <c r="C56" s="1700"/>
      <c r="D56" s="639"/>
      <c r="E56" s="610" t="str">
        <f>FHD_NUM_P_20</f>
        <v>2.8.1</v>
      </c>
      <c r="F56" s="1714" t="str">
        <f>FHD_P_20</f>
        <v>Расходы на амортизацию основных средств</v>
      </c>
      <c r="G56" s="1942" t="s">
        <v>556</v>
      </c>
      <c r="H56" s="621"/>
      <c r="I56" s="621"/>
      <c r="J56" s="353" t="str">
        <f>FHD_NOTE_P_20</f>
        <v/>
      </c>
      <c r="K56" s="1700" t="str">
        <f>IF((LEN(E56)-LEN(SUBSTITUTE(E56,".","")))/LEN(".")=1,"p","")</f>
        <v/>
      </c>
      <c r="L56" s="1700"/>
      <c r="M56" s="1700"/>
      <c r="R56" s="1700"/>
      <c r="U56" s="608"/>
      <c r="AA56" s="1696"/>
      <c r="AB56" s="1696"/>
      <c r="AC56" s="1696"/>
      <c r="AD56" s="1696"/>
      <c r="AE56" s="1696"/>
      <c r="AF56" s="1224">
        <v>11</v>
      </c>
    </row>
    <row s="5416" customFormat="1" customHeight="1" ht="11.549999999999999">
      <c r="A57" s="1051"/>
      <c r="C57" s="1700"/>
      <c r="D57" s="639"/>
      <c r="E57" s="610" t="str">
        <f>FHD_NUM_P_21</f>
        <v>2.8.2</v>
      </c>
      <c r="F57" s="1714" t="str">
        <f>FHD_P_21</f>
        <v>Расходы на амортизацию нематериальных активов</v>
      </c>
      <c r="G57" s="1942" t="s">
        <v>556</v>
      </c>
      <c r="H57" s="621"/>
      <c r="I57" s="621"/>
      <c r="J57" s="353" t="str">
        <f>FHD_NOTE_P_21</f>
        <v/>
      </c>
      <c r="K57" s="1700" t="str">
        <f>IF((LEN(E57)-LEN(SUBSTITUTE(E57,".","")))/LEN(".")=1,"p","")</f>
        <v/>
      </c>
      <c r="L57" s="1700"/>
      <c r="M57" s="1700"/>
      <c r="R57" s="1700"/>
      <c r="U57" s="608"/>
      <c r="AA57" s="1696"/>
      <c r="AB57" s="1696"/>
      <c r="AC57" s="1696"/>
      <c r="AD57" s="1696"/>
      <c r="AE57" s="1696"/>
      <c r="AF57" s="1224">
        <v>11</v>
      </c>
    </row>
    <row s="5416"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регулируемых видов деятельности в сфере горячего водоснабжения</v>
      </c>
      <c r="G58" s="1942" t="s">
        <v>556</v>
      </c>
      <c r="H58" s="621"/>
      <c r="I58" s="621"/>
      <c r="J58" s="353" t="str">
        <f>FHD_NOTE_P_22</f>
        <v/>
      </c>
      <c r="K58" s="1700" t="str">
        <f>IF((LEN(E58)-LEN(SUBSTITUTE(E58,".","")))/LEN(".")=1,"p","")</f>
        <v>p</v>
      </c>
      <c r="L58" s="1700"/>
      <c r="M58" s="1700"/>
      <c r="R58" s="1700"/>
      <c r="U58" s="608"/>
      <c r="AA58" s="1696"/>
      <c r="AB58" s="1696"/>
      <c r="AC58" s="1696"/>
      <c r="AD58" s="1696"/>
      <c r="AE58" s="1696"/>
      <c r="AF58" s="1224">
        <v>11</v>
      </c>
    </row>
    <row s="5416" customFormat="1" customHeight="1" ht="11.549999999999999">
      <c r="A59" s="1051"/>
      <c r="C59" s="1700"/>
      <c r="D59" s="639"/>
      <c r="E59" s="610" t="str">
        <f>FHD_NUM_P_23</f>
        <v>2.10</v>
      </c>
      <c r="F59" s="1588" t="str">
        <f>FHD_P_23</f>
        <v>Общепроизводственные расходы, в том числе:</v>
      </c>
      <c r="G59" s="1942" t="s">
        <v>556</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5416" customFormat="1" customHeight="1" ht="11.549999999999999">
      <c r="A60" s="1051"/>
      <c r="C60" s="1700"/>
      <c r="D60" s="639"/>
      <c r="E60" s="610" t="str">
        <f>FHD_NUM_P_24</f>
        <v>2.10.1</v>
      </c>
      <c r="F60" s="1714" t="str">
        <f>FHD_P_24</f>
        <v>Расходы на текущий ремонт</v>
      </c>
      <c r="G60" s="1942" t="s">
        <v>556</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5416" customFormat="1" customHeight="1" ht="11.549999999999999">
      <c r="A61" s="1051"/>
      <c r="C61" s="1700"/>
      <c r="D61" s="639"/>
      <c r="E61" s="610" t="str">
        <f>FHD_NUM_P_25</f>
        <v>2.10.2</v>
      </c>
      <c r="F61" s="1714" t="str">
        <f>FHD_P_25</f>
        <v>Расходы на капитальный ремонт</v>
      </c>
      <c r="G61" s="1942" t="s">
        <v>556</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5416" customFormat="1" customHeight="1" ht="11.549999999999999">
      <c r="A62" s="1051"/>
      <c r="C62" s="1700"/>
      <c r="D62" s="1702"/>
      <c r="E62" s="610" t="str">
        <f>FHD_NUM_P_26</f>
        <v>2.11</v>
      </c>
      <c r="F62" s="1588" t="str">
        <f>FHD_P_26</f>
        <v>Общехозяйственные расходы, в том числе:</v>
      </c>
      <c r="G62" s="1942" t="s">
        <v>556</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5416" customFormat="1" customHeight="1" ht="11.549999999999999">
      <c r="A63" s="1051"/>
      <c r="C63" s="1700"/>
      <c r="D63" s="1702"/>
      <c r="E63" s="610" t="str">
        <f>FHD_NUM_P_27</f>
        <v>2.11.1</v>
      </c>
      <c r="F63" s="1714" t="str">
        <f>FHD_P_27</f>
        <v>Расходы на текущий ремонт</v>
      </c>
      <c r="G63" s="1942" t="s">
        <v>556</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5416" customFormat="1" customHeight="1" ht="11.549999999999999">
      <c r="A64" s="1051"/>
      <c r="C64" s="1700"/>
      <c r="D64" s="1702"/>
      <c r="E64" s="610" t="str">
        <f>FHD_NUM_P_28</f>
        <v>2.11.2</v>
      </c>
      <c r="F64" s="1714" t="str">
        <f>FHD_P_28</f>
        <v>Расходы на капитальный ремонт</v>
      </c>
      <c r="G64" s="1942" t="s">
        <v>556</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5416"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556</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5416"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310</v>
      </c>
      <c r="H66" s="1713" t="s">
        <v>579</v>
      </c>
      <c r="I66" s="1713" t="s">
        <v>579</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5416" customFormat="1" customHeight="1" ht="23.25">
      <c r="A67" s="2435" t="s">
        <v>580</v>
      </c>
      <c r="C67" s="1700"/>
      <c r="D67" s="1702"/>
      <c r="E67" s="610" t="str">
        <f>FHD_NUM_P_31</f>
        <v>2.13</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2" t="s">
        <v>556</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5416" customFormat="1" customHeight="1" ht="47.25">
      <c r="A68" s="2435"/>
      <c r="C68" s="1700"/>
      <c r="D68" s="1702"/>
      <c r="E68" s="610" t="str">
        <f>FHD_NUM_P_32</f>
        <v>2.13.1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310</v>
      </c>
      <c r="H68" s="1713" t="s">
        <v>579</v>
      </c>
      <c r="I68" s="1713" t="s">
        <v>579</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5416" customFormat="1" customHeight="1" ht="11.549999999999999">
      <c r="A69" s="1051"/>
      <c r="C69" s="1700"/>
      <c r="D69" s="1702"/>
      <c r="E69" s="610" t="str">
        <f>FHD_NUM_P_33</f>
        <v>2.14</v>
      </c>
      <c r="F69" s="158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3" t="s">
        <v>556</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976" customFormat="1" customHeight="1" ht="1.05">
      <c r="A70" s="1231"/>
      <c r="D70" s="612"/>
      <c r="E70" s="1077" t="str">
        <f>E69&amp;".0"</f>
        <v>2.14.0</v>
      </c>
      <c r="F70" s="1055"/>
      <c r="G70" s="1077"/>
      <c r="H70" s="1056"/>
      <c r="I70" s="1056"/>
      <c r="J70" s="1057"/>
      <c r="K70" s="1700" t="str">
        <f>IF((LEN(E70)-LEN(SUBSTITUTE(E70,".","")))/LEN(".")=1,"p","")</f>
        <v/>
      </c>
      <c r="AF70" s="1700">
        <v>1</v>
      </c>
    </row>
    <row s="5416" customFormat="1" customHeight="1" ht="14.699999999999998">
      <c r="A71" s="1051"/>
      <c r="C71" s="1700"/>
      <c r="D71" s="1697"/>
      <c r="E71" s="634"/>
      <c r="F71" s="635" t="s">
        <v>581</v>
      </c>
      <c r="G71" s="636"/>
      <c r="H71" s="637"/>
      <c r="I71" s="637"/>
      <c r="J71" s="365"/>
      <c r="K71" s="1700"/>
      <c r="L71" s="1700"/>
      <c r="M71" s="1700"/>
      <c r="R71" s="1700"/>
      <c r="U71" s="608"/>
      <c r="AA71" s="1696"/>
      <c r="AB71" s="1696"/>
      <c r="AC71" s="1696"/>
      <c r="AD71" s="1696"/>
      <c r="AE71" s="1696"/>
      <c r="AF71" s="1224">
        <v>14</v>
      </c>
    </row>
    <row s="5416" customFormat="1" customHeight="1" ht="18.75" hidden="1">
      <c r="A72" s="1053" t="s">
        <v>582</v>
      </c>
      <c r="C72" s="1700"/>
      <c r="D72" s="1702"/>
      <c r="E72" s="610" t="str">
        <f>FHD_NUM_P_34</f>
        <v/>
      </c>
      <c r="F72" s="1944" t="str">
        <f>FHD_P_34</f>
        <v/>
      </c>
      <c r="G72" s="1942" t="s">
        <v>556</v>
      </c>
      <c r="H72" s="621"/>
      <c r="I72" s="621"/>
      <c r="J72" s="353" t="str">
        <f>FHD_NOTE_P_34</f>
        <v/>
      </c>
      <c r="K72" s="607"/>
      <c r="L72" s="1700"/>
      <c r="M72" s="1700"/>
      <c r="R72" s="1700"/>
      <c r="U72" s="608"/>
      <c r="AA72" s="1696"/>
      <c r="AB72" s="1696"/>
      <c r="AC72" s="1696"/>
      <c r="AD72" s="1696"/>
      <c r="AE72" s="1696"/>
      <c r="AF72" s="1224">
        <v>0</v>
      </c>
    </row>
    <row s="5416" customFormat="1" customHeight="1" ht="19.95">
      <c r="A73" s="1051"/>
      <c r="C73" s="1700"/>
      <c r="D73" s="639"/>
      <c r="E73" s="610" t="str">
        <f>FHD_NUM_P_35</f>
        <v>3</v>
      </c>
      <c r="F73" s="1944" t="str">
        <f>FHD_P_35</f>
        <v>Чистая прибыль, полученная от регулируемого вида деятельности в сфере горячего водоснабжения, в том числе:</v>
      </c>
      <c r="G73" s="1942" t="s">
        <v>556</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5416"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556</v>
      </c>
      <c r="H74" s="621"/>
      <c r="I74" s="621"/>
      <c r="J74" s="353" t="str">
        <f>FHD_NOTE_P_36</f>
        <v/>
      </c>
      <c r="K74" s="607"/>
      <c r="L74" s="1700"/>
      <c r="M74" s="1700"/>
      <c r="R74" s="1700"/>
      <c r="U74" s="608"/>
      <c r="AA74" s="1696"/>
      <c r="AB74" s="1696"/>
      <c r="AC74" s="1696"/>
      <c r="AD74" s="1696"/>
      <c r="AE74" s="1696"/>
      <c r="AF74" s="1224">
        <v>19</v>
      </c>
    </row>
    <row s="5416" customFormat="1" customHeight="1" ht="19.95">
      <c r="A75" s="1051"/>
      <c r="C75" s="1700"/>
      <c r="D75" s="1702"/>
      <c r="E75" s="610" t="str">
        <f>FHD_NUM_P_37</f>
        <v>4</v>
      </c>
      <c r="F75" s="1944" t="str">
        <f>FHD_P_37</f>
        <v>Изменение стоимости основных фондов, в том числе:</v>
      </c>
      <c r="G75" s="1942" t="s">
        <v>556</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5416"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556</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5416"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556</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5416"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556</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5416" customFormat="1" customHeight="1" ht="19.95">
      <c r="A79" s="1051"/>
      <c r="C79" s="1700"/>
      <c r="D79" s="1702"/>
      <c r="E79" s="610" t="str">
        <f>FHD_NUM_P_41</f>
        <v>4.2</v>
      </c>
      <c r="F79" s="2139" t="str">
        <f>FHD_P_41</f>
        <v>Изменение стоимости основных фондов за счет их переоценки</v>
      </c>
      <c r="G79" s="2135" t="s">
        <v>556</v>
      </c>
      <c r="H79" s="1040"/>
      <c r="I79" s="621"/>
      <c r="J79" s="353" t="str">
        <f>FHD_NOTE_P_41</f>
        <v/>
      </c>
      <c r="K79" s="607"/>
      <c r="L79" s="1700"/>
      <c r="M79" s="1700"/>
      <c r="R79" s="1700"/>
      <c r="U79" s="608"/>
      <c r="AA79" s="1696"/>
      <c r="AB79" s="1696"/>
      <c r="AC79" s="1696"/>
      <c r="AD79" s="1696"/>
      <c r="AE79" s="1696"/>
      <c r="AF79" s="1224">
        <v>19</v>
      </c>
    </row>
    <row s="5416" customFormat="1" customHeight="1" ht="19.95">
      <c r="A80" s="1053" t="s">
        <v>583</v>
      </c>
      <c r="C80" s="1700"/>
      <c r="D80" s="1702"/>
      <c r="E80" s="610" t="str">
        <f>FHD_NUM_P_42</f>
        <v>5</v>
      </c>
      <c r="F80" s="2137" t="str">
        <f>FHD_P_42</f>
        <v>Валовая прибыль (убытки) от продажи товаров и услуг по регулируемым видам деятельности в сфере горячего водоснабжения</v>
      </c>
      <c r="G80" s="2135" t="s">
        <v>556</v>
      </c>
      <c r="H80" s="1040"/>
      <c r="I80" s="621"/>
      <c r="J80" s="353" t="str">
        <f>FHD_NOTE_P_42</f>
        <v/>
      </c>
      <c r="K80" s="607"/>
      <c r="L80" s="1700"/>
      <c r="M80" s="1700"/>
      <c r="R80" s="1700"/>
      <c r="U80" s="608"/>
      <c r="AA80" s="1696"/>
      <c r="AB80" s="1696"/>
      <c r="AC80" s="1696"/>
      <c r="AD80" s="1696"/>
      <c r="AE80" s="1696"/>
      <c r="AF80" s="1224">
        <v>19</v>
      </c>
    </row>
    <row s="5416"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310</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5416" customFormat="1" customHeight="1" ht="18.75" hidden="1">
      <c r="A82" s="2435" t="s">
        <v>584</v>
      </c>
      <c r="C82" s="799"/>
      <c r="D82" s="797"/>
      <c r="E82" s="610" t="str">
        <f>FHD_NUM_P_44</f>
        <v/>
      </c>
      <c r="F82" s="1944" t="str">
        <f>FHD_P_44</f>
        <v/>
      </c>
      <c r="G82" s="1945" t="s">
        <v>585</v>
      </c>
      <c r="H82" s="1041"/>
      <c r="I82" s="641"/>
      <c r="J82" s="353" t="str">
        <f>FHD_NOTE_P_44</f>
        <v/>
      </c>
      <c r="K82" s="798"/>
      <c r="L82" s="799"/>
      <c r="M82" s="799"/>
      <c r="R82" s="799"/>
      <c r="U82" s="800"/>
      <c r="AA82" s="801"/>
      <c r="AB82" s="801"/>
      <c r="AC82" s="801"/>
      <c r="AD82" s="801"/>
      <c r="AE82" s="801"/>
      <c r="AF82" s="974">
        <v>0</v>
      </c>
    </row>
    <row s="5416" customFormat="1" customHeight="1" ht="18.75" hidden="1">
      <c r="A83" s="2435"/>
      <c r="C83" s="799"/>
      <c r="D83" s="797"/>
      <c r="E83" s="610" t="str">
        <f>FHD_NUM_P_45</f>
        <v/>
      </c>
      <c r="F83" s="1944" t="str">
        <f>FHD_P_45</f>
        <v/>
      </c>
      <c r="G83" s="1945" t="s">
        <v>585</v>
      </c>
      <c r="H83" s="1041"/>
      <c r="I83" s="641"/>
      <c r="J83" s="353" t="str">
        <f>FHD_NOTE_P_45</f>
        <v/>
      </c>
      <c r="K83" s="798"/>
      <c r="L83" s="799"/>
      <c r="M83" s="799"/>
      <c r="R83" s="799"/>
      <c r="U83" s="800"/>
      <c r="AA83" s="801"/>
      <c r="AB83" s="801"/>
      <c r="AC83" s="801"/>
      <c r="AD83" s="801"/>
      <c r="AE83" s="801"/>
      <c r="AF83" s="974">
        <v>0</v>
      </c>
    </row>
    <row s="5416" customFormat="1" customHeight="1" ht="18.75" hidden="1">
      <c r="A84" s="2435"/>
      <c r="C84" s="799"/>
      <c r="D84" s="802"/>
      <c r="E84" s="610" t="str">
        <f>FHD_NUM_P_46</f>
        <v/>
      </c>
      <c r="F84" s="1944" t="str">
        <f>FHD_P_46</f>
        <v/>
      </c>
      <c r="G84" s="1945" t="s">
        <v>585</v>
      </c>
      <c r="H84" s="1041"/>
      <c r="I84" s="641"/>
      <c r="J84" s="353" t="str">
        <f>FHD_NOTE_P_46</f>
        <v/>
      </c>
      <c r="K84" s="798"/>
      <c r="L84" s="799"/>
      <c r="M84" s="799"/>
      <c r="R84" s="799"/>
      <c r="U84" s="800"/>
      <c r="AA84" s="801"/>
      <c r="AB84" s="801"/>
      <c r="AC84" s="801"/>
      <c r="AD84" s="801"/>
      <c r="AE84" s="801"/>
      <c r="AF84" s="974">
        <v>0</v>
      </c>
    </row>
    <row s="5416" customFormat="1" customHeight="1" ht="18.75" hidden="1">
      <c r="A85" s="2435"/>
      <c r="C85" s="799"/>
      <c r="D85" s="797"/>
      <c r="E85" s="610" t="str">
        <f>FHD_NUM_P_47</f>
        <v/>
      </c>
      <c r="F85" s="1944" t="str">
        <f>FHD_P_47</f>
        <v/>
      </c>
      <c r="G85" s="1945" t="s">
        <v>585</v>
      </c>
      <c r="H85" s="1041"/>
      <c r="I85" s="641"/>
      <c r="J85" s="353" t="str">
        <f>FHD_NOTE_P_47</f>
        <v/>
      </c>
      <c r="K85" s="798"/>
      <c r="L85" s="799"/>
      <c r="M85" s="799"/>
      <c r="R85" s="799"/>
      <c r="U85" s="800"/>
      <c r="AA85" s="801"/>
      <c r="AB85" s="801"/>
      <c r="AC85" s="801"/>
      <c r="AD85" s="801"/>
      <c r="AE85" s="801"/>
      <c r="AF85" s="974">
        <v>0</v>
      </c>
    </row>
    <row s="5468" customFormat="1" customHeight="1" ht="18.75" hidden="1">
      <c r="A86" s="2435"/>
      <c r="B86" s="974"/>
      <c r="C86" s="799"/>
      <c r="D86" s="797"/>
      <c r="E86" s="610" t="str">
        <f>FHD_NUM_P_48</f>
        <v/>
      </c>
      <c r="F86" s="1944" t="str">
        <f>FHD_P_48</f>
        <v/>
      </c>
      <c r="G86" s="1945" t="s">
        <v>585</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5468" customFormat="1" customHeight="1" ht="18.75" hidden="1">
      <c r="A87" s="2435"/>
      <c r="B87" s="974"/>
      <c r="C87" s="799"/>
      <c r="D87" s="797"/>
      <c r="E87" s="610" t="str">
        <f>FHD_NUM_P_49</f>
        <v/>
      </c>
      <c r="F87" s="1944" t="str">
        <f>FHD_P_49</f>
        <v/>
      </c>
      <c r="G87" s="1945" t="s">
        <v>585</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5468" customFormat="1" customHeight="1" ht="18.75" hidden="1">
      <c r="A88" s="2435"/>
      <c r="B88" s="974"/>
      <c r="C88" s="799"/>
      <c r="D88" s="797"/>
      <c r="E88" s="610" t="str">
        <f>FHD_NUM_P_50</f>
        <v/>
      </c>
      <c r="F88" s="1944" t="str">
        <f>FHD_P_50</f>
        <v/>
      </c>
      <c r="G88" s="1945" t="s">
        <v>585</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5468" customFormat="1" customHeight="1" ht="18.75" hidden="1">
      <c r="A89" s="2435"/>
      <c r="B89" s="974"/>
      <c r="C89" s="799"/>
      <c r="D89" s="797"/>
      <c r="E89" s="610" t="str">
        <f>FHD_NUM_P_51</f>
        <v/>
      </c>
      <c r="F89" s="1944" t="str">
        <f>FHD_P_51</f>
        <v/>
      </c>
      <c r="G89" s="1945" t="s">
        <v>585</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5468" customFormat="1" customHeight="1" ht="18.75" hidden="1">
      <c r="A90" s="2435"/>
      <c r="B90" s="974"/>
      <c r="C90" s="799"/>
      <c r="D90" s="797"/>
      <c r="E90" s="610" t="str">
        <f>FHD_NUM_P_52</f>
        <v/>
      </c>
      <c r="F90" s="1944" t="str">
        <f>FHD_P_52</f>
        <v/>
      </c>
      <c r="G90" s="1945" t="s">
        <v>562</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5416" customFormat="1" customHeight="1" ht="18.75">
      <c r="A91" s="2437" t="s">
        <v>586</v>
      </c>
      <c r="C91" s="799"/>
      <c r="D91" s="797"/>
      <c r="E91" s="610" t="str">
        <f>FHD_NUM_P_53</f>
        <v>7</v>
      </c>
      <c r="F91" s="1944" t="str">
        <f>FHD_P_53</f>
        <v>Объём приобретаемой холодной воды, используемой для горячего водоснабжения</v>
      </c>
      <c r="G91" s="1945" t="s">
        <v>585</v>
      </c>
      <c r="H91" s="1041"/>
      <c r="I91" s="641"/>
      <c r="J91" s="353" t="str">
        <f>FHD_NOTE_P_53</f>
        <v/>
      </c>
      <c r="K91" s="798"/>
      <c r="L91" s="799"/>
      <c r="M91" s="799"/>
      <c r="R91" s="799"/>
      <c r="U91" s="800"/>
      <c r="AA91" s="801"/>
      <c r="AB91" s="801"/>
      <c r="AC91" s="801"/>
      <c r="AD91" s="801"/>
      <c r="AE91" s="801"/>
      <c r="AF91" s="974">
        <v>0</v>
      </c>
    </row>
    <row s="5416" customFormat="1" customHeight="1" ht="18.75">
      <c r="A92" s="2437"/>
      <c r="C92" s="799"/>
      <c r="D92" s="797"/>
      <c r="E92" s="610" t="str">
        <f>FHD_NUM_P_54</f>
        <v>8</v>
      </c>
      <c r="F92" s="1944" t="str">
        <f>FHD_P_54</f>
        <v>Объём холодной воды, получаемой с применением собственных источников водозабора (скважин) и используемой для горячего водоснабжения</v>
      </c>
      <c r="G92" s="1945" t="s">
        <v>585</v>
      </c>
      <c r="H92" s="1041"/>
      <c r="I92" s="641"/>
      <c r="J92" s="353" t="str">
        <f>FHD_NOTE_P_54</f>
        <v/>
      </c>
      <c r="K92" s="798"/>
      <c r="L92" s="799"/>
      <c r="M92" s="799"/>
      <c r="R92" s="799"/>
      <c r="U92" s="800"/>
      <c r="AA92" s="801"/>
      <c r="AB92" s="801"/>
      <c r="AC92" s="801"/>
      <c r="AD92" s="801"/>
      <c r="AE92" s="801"/>
      <c r="AF92" s="974">
        <v>0</v>
      </c>
    </row>
    <row s="5416" customFormat="1" customHeight="1" ht="18.75">
      <c r="A93" s="2437"/>
      <c r="C93" s="799"/>
      <c r="D93" s="802"/>
      <c r="E93" s="610" t="str">
        <f>FHD_NUM_P_55</f>
        <v>9</v>
      </c>
      <c r="F93" s="1944" t="str">
        <f>FHD_P_55</f>
        <v>Объём приобретаемой тепловой энергии (мощности), используемой для горячего водоснабжения</v>
      </c>
      <c r="G93" s="1948"/>
      <c r="H93" s="1041"/>
      <c r="I93" s="641"/>
      <c r="J93" s="353" t="str">
        <f>FHD_NOTE_P_55</f>
        <v/>
      </c>
      <c r="K93" s="798"/>
      <c r="L93" s="799"/>
      <c r="M93" s="799"/>
      <c r="R93" s="799"/>
      <c r="U93" s="800"/>
      <c r="AA93" s="801"/>
      <c r="AB93" s="801"/>
      <c r="AC93" s="801"/>
      <c r="AD93" s="801"/>
      <c r="AE93" s="801"/>
      <c r="AF93" s="974">
        <v>0</v>
      </c>
    </row>
    <row s="5416" customFormat="1" customHeight="1" ht="18.75">
      <c r="A94" s="2437"/>
      <c r="C94" s="799"/>
      <c r="D94" s="797"/>
      <c r="E94" s="610" t="str">
        <f>FHD_NUM_P_56</f>
        <v>10</v>
      </c>
      <c r="F94" s="1944" t="str">
        <f>FHD_P_56</f>
        <v>Объём тепловой энергии, производимой с применением собственных источников и используемой для горячего водоснабжения</v>
      </c>
      <c r="G94" s="1945" t="s">
        <v>587</v>
      </c>
      <c r="H94" s="1041"/>
      <c r="I94" s="641"/>
      <c r="J94" s="353" t="str">
        <f>FHD_NOTE_P_56</f>
        <v/>
      </c>
      <c r="K94" s="798"/>
      <c r="L94" s="799"/>
      <c r="M94" s="799"/>
      <c r="R94" s="799"/>
      <c r="U94" s="800"/>
      <c r="AA94" s="801"/>
      <c r="AB94" s="801"/>
      <c r="AC94" s="801"/>
      <c r="AD94" s="801"/>
      <c r="AE94" s="801"/>
      <c r="AF94" s="974">
        <v>0</v>
      </c>
    </row>
    <row s="5468" customFormat="1" customHeight="1" ht="18.75">
      <c r="A95" s="2437"/>
      <c r="B95" s="974"/>
      <c r="C95" s="799"/>
      <c r="D95" s="797"/>
      <c r="E95" s="610" t="str">
        <f>FHD_NUM_P_57</f>
        <v>11</v>
      </c>
      <c r="F95" s="1944" t="str">
        <f>FHD_P_57</f>
        <v>Потери горячей воды в сетях (процентов)</v>
      </c>
      <c r="G95" s="1945" t="s">
        <v>562</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588</v>
      </c>
      <c r="D96" s="1702"/>
      <c r="E96" s="610" t="str">
        <f>FHD_NUM_P_58</f>
        <v/>
      </c>
      <c r="F96" s="1944" t="str">
        <f>FHD_P_58</f>
        <v/>
      </c>
      <c r="G96" s="1945" t="s">
        <v>585</v>
      </c>
      <c r="H96" s="1041"/>
      <c r="I96" s="641"/>
      <c r="J96" s="353" t="str">
        <f>FHD_NOTE_P_58</f>
        <v/>
      </c>
      <c r="K96" s="607"/>
      <c r="AF96" s="1695">
        <v>0</v>
      </c>
    </row>
    <row customHeight="1" ht="18.75" hidden="1">
      <c r="A97" s="2435"/>
      <c r="D97" s="1702"/>
      <c r="E97" s="610" t="str">
        <f>FHD_NUM_P_59</f>
        <v/>
      </c>
      <c r="F97" s="1944" t="str">
        <f>FHD_P_59</f>
        <v/>
      </c>
      <c r="G97" s="1945" t="s">
        <v>585</v>
      </c>
      <c r="H97" s="1041"/>
      <c r="I97" s="641"/>
      <c r="J97" s="353" t="str">
        <f>FHD_NOTE_P_59</f>
        <v/>
      </c>
      <c r="K97" s="607"/>
      <c r="AF97" s="1695">
        <v>0</v>
      </c>
    </row>
    <row customHeight="1" ht="18.75" hidden="1">
      <c r="A98" s="2435"/>
      <c r="D98" s="1702"/>
      <c r="E98" s="610" t="str">
        <f>FHD_NUM_P_60</f>
        <v/>
      </c>
      <c r="F98" s="1944" t="str">
        <f>FHD_P_60</f>
        <v/>
      </c>
      <c r="G98" s="1945" t="s">
        <v>585</v>
      </c>
      <c r="H98" s="1041"/>
      <c r="I98" s="641"/>
      <c r="J98" s="353" t="str">
        <f>FHD_NOTE_P_60</f>
        <v/>
      </c>
      <c r="K98" s="607"/>
      <c r="AF98" s="1695">
        <v>0</v>
      </c>
    </row>
    <row s="5416" customFormat="1" customHeight="1" ht="18.75" hidden="1">
      <c r="A99" s="2435" t="s">
        <v>589</v>
      </c>
      <c r="C99" s="1700"/>
      <c r="D99" s="1702"/>
      <c r="E99" s="610" t="str">
        <f>FHD_NUM_P_61</f>
        <v/>
      </c>
      <c r="F99" s="1944" t="str">
        <f>FHD_P_61</f>
        <v/>
      </c>
      <c r="G99" s="1942" t="s">
        <v>560</v>
      </c>
      <c r="H99" s="1043"/>
      <c r="I99" s="806"/>
      <c r="J99" s="353" t="str">
        <f>FHD_NOTE_P_61</f>
        <v/>
      </c>
      <c r="K99" s="607"/>
      <c r="L99" s="1700"/>
      <c r="M99" s="1700"/>
      <c r="R99" s="1700"/>
      <c r="U99" s="608"/>
      <c r="AA99" s="1696"/>
      <c r="AB99" s="1696"/>
      <c r="AC99" s="1696"/>
      <c r="AD99" s="1696"/>
      <c r="AE99" s="1696"/>
      <c r="AF99" s="1224">
        <v>0</v>
      </c>
    </row>
    <row s="4976"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590</v>
      </c>
      <c r="G101" s="636"/>
      <c r="H101" s="637"/>
      <c r="I101" s="637"/>
      <c r="J101" s="1068" t="s">
        <v>591</v>
      </c>
      <c r="K101" s="607"/>
      <c r="AF101" s="1695">
        <v>0</v>
      </c>
    </row>
    <row s="5416" customFormat="1" customHeight="1" ht="18.75" hidden="1">
      <c r="A102" s="2435"/>
      <c r="C102" s="1700"/>
      <c r="D102" s="1702"/>
      <c r="E102" s="610" t="str">
        <f>FHD_NUM_P_62</f>
        <v/>
      </c>
      <c r="F102" s="1944" t="str">
        <f>FHD_P_62</f>
        <v/>
      </c>
      <c r="G102" s="1941" t="s">
        <v>560</v>
      </c>
      <c r="H102" s="621"/>
      <c r="I102" s="621"/>
      <c r="J102" s="353" t="str">
        <f>FHD_NOTE_P_62</f>
        <v/>
      </c>
      <c r="K102" s="607"/>
      <c r="L102" s="1700"/>
      <c r="M102" s="1700"/>
      <c r="R102" s="1700"/>
      <c r="U102" s="608"/>
      <c r="AA102" s="1696"/>
      <c r="AB102" s="1696"/>
      <c r="AC102" s="1696"/>
      <c r="AD102" s="1696"/>
      <c r="AE102" s="1696"/>
      <c r="AF102" s="1224">
        <v>0</v>
      </c>
    </row>
    <row s="5416" customFormat="1" customHeight="1" ht="18.75" hidden="1">
      <c r="A103" s="2435"/>
      <c r="C103" s="1700"/>
      <c r="D103" s="1702"/>
      <c r="E103" s="610" t="str">
        <f>FHD_NUM_P_63</f>
        <v/>
      </c>
      <c r="F103" s="1944" t="str">
        <f>FHD_P_63</f>
        <v/>
      </c>
      <c r="G103" s="1941" t="s">
        <v>587</v>
      </c>
      <c r="H103" s="641"/>
      <c r="I103" s="641"/>
      <c r="J103" s="353" t="str">
        <f>FHD_NOTE_P_63</f>
        <v/>
      </c>
      <c r="K103" s="607"/>
      <c r="L103" s="1700"/>
      <c r="M103" s="1700"/>
      <c r="R103" s="1700"/>
      <c r="U103" s="608"/>
      <c r="AA103" s="1696"/>
      <c r="AB103" s="1696"/>
      <c r="AC103" s="1696"/>
      <c r="AD103" s="1696"/>
      <c r="AE103" s="1696"/>
      <c r="AF103" s="1224">
        <v>0</v>
      </c>
    </row>
    <row s="5416" customFormat="1" customHeight="1" ht="18.75" hidden="1">
      <c r="A104" s="2435"/>
      <c r="C104" s="1700" t="s">
        <v>592</v>
      </c>
      <c r="D104" s="1702"/>
      <c r="E104" s="610" t="str">
        <f>FHD_NUM_P_64</f>
        <v/>
      </c>
      <c r="F104" s="1944" t="str">
        <f>FHD_P_64</f>
        <v/>
      </c>
      <c r="G104" s="1941" t="s">
        <v>587</v>
      </c>
      <c r="H104" s="609"/>
      <c r="I104" s="609"/>
      <c r="J104" s="353" t="str">
        <f>FHD_NOTE_P_64</f>
        <v/>
      </c>
      <c r="K104" s="607"/>
      <c r="L104" s="1700"/>
      <c r="M104" s="1700"/>
      <c r="R104" s="1700"/>
      <c r="U104" s="608"/>
      <c r="AA104" s="1696"/>
      <c r="AB104" s="1696"/>
      <c r="AC104" s="1696"/>
      <c r="AD104" s="1696"/>
      <c r="AE104" s="1696"/>
      <c r="AF104" s="1224">
        <v>0</v>
      </c>
    </row>
    <row s="5416" customFormat="1" customHeight="1" ht="18.75" hidden="1">
      <c r="A105" s="2435"/>
      <c r="C105" s="1700"/>
      <c r="D105" s="1702"/>
      <c r="E105" s="610" t="str">
        <f>FHD_NUM_P_65</f>
        <v/>
      </c>
      <c r="F105" s="1944" t="str">
        <f>FHD_P_65</f>
        <v/>
      </c>
      <c r="G105" s="1941" t="s">
        <v>587</v>
      </c>
      <c r="H105" s="641"/>
      <c r="I105" s="641"/>
      <c r="J105" s="353" t="str">
        <f>FHD_NOTE_P_65</f>
        <v/>
      </c>
      <c r="K105" s="607"/>
      <c r="L105" s="1700"/>
      <c r="M105" s="1700"/>
      <c r="R105" s="1700"/>
      <c r="U105" s="608"/>
      <c r="AA105" s="1696"/>
      <c r="AB105" s="1696"/>
      <c r="AC105" s="1696"/>
      <c r="AD105" s="1696"/>
      <c r="AE105" s="1696"/>
      <c r="AF105" s="1224">
        <v>0</v>
      </c>
    </row>
    <row s="5416" customFormat="1" customHeight="1" ht="18.75" hidden="1">
      <c r="A106" s="2435"/>
      <c r="C106" s="1700"/>
      <c r="D106" s="1702"/>
      <c r="E106" s="610" t="str">
        <f>FHD_NUM_P_66</f>
        <v/>
      </c>
      <c r="F106" s="1588" t="str">
        <f>FHD_P_66</f>
        <v/>
      </c>
      <c r="G106" s="1941" t="s">
        <v>587</v>
      </c>
      <c r="H106" s="641"/>
      <c r="I106" s="641"/>
      <c r="J106" s="353" t="str">
        <f>FHD_NOTE_P_66</f>
        <v/>
      </c>
      <c r="K106" s="607"/>
      <c r="L106" s="1700"/>
      <c r="M106" s="1700"/>
      <c r="R106" s="1700"/>
      <c r="U106" s="608"/>
      <c r="AA106" s="1696"/>
      <c r="AB106" s="1696"/>
      <c r="AC106" s="1696"/>
      <c r="AD106" s="1696"/>
      <c r="AE106" s="1696"/>
      <c r="AF106" s="1224">
        <v>0</v>
      </c>
    </row>
    <row s="5416" customFormat="1" customHeight="1" ht="18.75" hidden="1">
      <c r="A107" s="2435"/>
      <c r="C107" s="1700"/>
      <c r="D107" s="1702"/>
      <c r="E107" s="610" t="str">
        <f>FHD_NUM_P_67</f>
        <v/>
      </c>
      <c r="F107" s="1714" t="str">
        <f>FHD_P_67</f>
        <v/>
      </c>
      <c r="G107" s="1941" t="s">
        <v>587</v>
      </c>
      <c r="H107" s="641"/>
      <c r="I107" s="641"/>
      <c r="J107" s="353" t="str">
        <f>FHD_NOTE_P_67</f>
        <v/>
      </c>
      <c r="K107" s="607"/>
      <c r="L107" s="1700"/>
      <c r="M107" s="1700"/>
      <c r="R107" s="1700"/>
      <c r="U107" s="608"/>
      <c r="AA107" s="1696"/>
      <c r="AB107" s="1696"/>
      <c r="AC107" s="1696"/>
      <c r="AD107" s="1696"/>
      <c r="AE107" s="1696"/>
      <c r="AF107" s="1224">
        <v>0</v>
      </c>
    </row>
    <row s="5416" customFormat="1" customHeight="1" ht="18.75" hidden="1">
      <c r="A108" s="2435"/>
      <c r="C108" s="1700"/>
      <c r="D108" s="1702"/>
      <c r="E108" s="610" t="str">
        <f>FHD_NUM_P_68</f>
        <v/>
      </c>
      <c r="F108" s="1588" t="str">
        <f>FHD_P_68</f>
        <v/>
      </c>
      <c r="G108" s="1941" t="s">
        <v>587</v>
      </c>
      <c r="H108" s="641"/>
      <c r="I108" s="641"/>
      <c r="J108" s="353" t="str">
        <f>FHD_NOTE_P_68</f>
        <v/>
      </c>
      <c r="K108" s="607"/>
      <c r="L108" s="1700"/>
      <c r="M108" s="1700"/>
      <c r="R108" s="1700"/>
      <c r="U108" s="608"/>
      <c r="AA108" s="1696"/>
      <c r="AB108" s="1696"/>
      <c r="AC108" s="1696"/>
      <c r="AD108" s="1696"/>
      <c r="AE108" s="1696"/>
      <c r="AF108" s="1224">
        <v>0</v>
      </c>
    </row>
    <row s="5416" customFormat="1" customHeight="1" ht="18.75" hidden="1">
      <c r="A109" s="2435"/>
      <c r="C109" s="1700"/>
      <c r="D109" s="1702"/>
      <c r="E109" s="610" t="str">
        <f>FHD_NUM_P_69</f>
        <v/>
      </c>
      <c r="F109" s="1588" t="str">
        <f>FHD_P_69</f>
        <v/>
      </c>
      <c r="G109" s="1941" t="s">
        <v>587</v>
      </c>
      <c r="H109" s="641"/>
      <c r="I109" s="641"/>
      <c r="J109" s="353" t="str">
        <f>FHD_NOTE_P_69</f>
        <v/>
      </c>
      <c r="K109" s="607"/>
      <c r="L109" s="1700"/>
      <c r="M109" s="1700"/>
      <c r="R109" s="1700"/>
      <c r="U109" s="608"/>
      <c r="AA109" s="1696"/>
      <c r="AB109" s="1696"/>
      <c r="AC109" s="1696"/>
      <c r="AD109" s="1696"/>
      <c r="AE109" s="1696"/>
      <c r="AF109" s="1224">
        <v>0</v>
      </c>
    </row>
    <row s="5416" customFormat="1" customHeight="1" ht="22.5" hidden="1">
      <c r="A110" s="2435"/>
      <c r="C110" s="1700"/>
      <c r="D110" s="1702"/>
      <c r="E110" s="610" t="str">
        <f>FHD_NUM_P_70</f>
        <v/>
      </c>
      <c r="F110" s="1944" t="str">
        <f>FHD_P_70</f>
        <v/>
      </c>
      <c r="G110" s="1941" t="s">
        <v>593</v>
      </c>
      <c r="H110" s="621"/>
      <c r="I110" s="621"/>
      <c r="J110" s="353" t="str">
        <f>FHD_NOTE_P_70</f>
        <v/>
      </c>
      <c r="K110" s="607"/>
      <c r="L110" s="1700"/>
      <c r="M110" s="1700"/>
      <c r="R110" s="1700"/>
      <c r="U110" s="608"/>
      <c r="AA110" s="1696"/>
      <c r="AB110" s="1696"/>
      <c r="AC110" s="1696"/>
      <c r="AD110" s="1696"/>
      <c r="AE110" s="1696"/>
      <c r="AF110" s="1224">
        <v>0</v>
      </c>
    </row>
    <row s="5416" customFormat="1" customHeight="1" ht="22.5" hidden="1">
      <c r="A111" s="2435"/>
      <c r="C111" s="1700"/>
      <c r="D111" s="1702"/>
      <c r="E111" s="610" t="str">
        <f>FHD_NUM_P_71</f>
        <v/>
      </c>
      <c r="F111" s="1944" t="str">
        <f>FHD_P_71</f>
        <v/>
      </c>
      <c r="G111" s="1941" t="s">
        <v>593</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12</v>
      </c>
      <c r="F112" s="1944" t="str">
        <f>FHD_P_72</f>
        <v>Среднесписочная численность основного производственного персонала</v>
      </c>
      <c r="G112" s="1940" t="s">
        <v>594</v>
      </c>
      <c r="H112" s="641"/>
      <c r="I112" s="641"/>
      <c r="J112" s="353" t="str">
        <f>FHD_NOTE_P_72</f>
        <v/>
      </c>
      <c r="K112" s="607"/>
      <c r="AF112" s="1695">
        <v>19</v>
      </c>
    </row>
    <row customHeight="1" ht="18.75" hidden="1">
      <c r="A113" s="1053" t="s">
        <v>595</v>
      </c>
      <c r="D113" s="1702"/>
      <c r="E113" s="610" t="str">
        <f>FHD_NUM_P_73</f>
        <v/>
      </c>
      <c r="F113" s="1944" t="str">
        <f>FHD_P_73</f>
        <v/>
      </c>
      <c r="G113" s="1034" t="s">
        <v>594</v>
      </c>
      <c r="H113" s="1032"/>
      <c r="I113" s="1032"/>
      <c r="J113" s="353" t="str">
        <f>FHD_NOTE_P_73</f>
        <v/>
      </c>
      <c r="K113" s="607"/>
      <c r="AF113" s="1695">
        <v>0</v>
      </c>
    </row>
    <row customHeight="1" ht="33.75">
      <c r="A114" s="1053" t="s">
        <v>596</v>
      </c>
      <c r="D114" s="1702"/>
      <c r="E114" s="610" t="str">
        <f>FHD_NUM_P_74</f>
        <v>13</v>
      </c>
      <c r="F114" s="1944" t="str">
        <f>FHD_P_74</f>
        <v>Удельный расход электрической энергии на подачу воды в сеть</v>
      </c>
      <c r="G114" s="1940" t="s">
        <v>597</v>
      </c>
      <c r="H114" s="641"/>
      <c r="I114" s="641"/>
      <c r="J114" s="353" t="str">
        <f>FHD_NOTE_P_74</f>
        <v/>
      </c>
      <c r="K114" s="607"/>
      <c r="AF114" s="1695">
        <v>0</v>
      </c>
    </row>
    <row s="5468" customFormat="1" customHeight="1" ht="18.75" hidden="1">
      <c r="A115" s="2437" t="s">
        <v>598</v>
      </c>
      <c r="B115" s="974"/>
      <c r="C115" s="799"/>
      <c r="D115" s="797"/>
      <c r="E115" s="610" t="str">
        <f>FHD_NUM_P_75</f>
        <v/>
      </c>
      <c r="F115" s="1944" t="str">
        <f>FHD_P_75</f>
        <v/>
      </c>
      <c r="G115" s="1940" t="s">
        <v>562</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5468" customFormat="1" customHeight="1" ht="18.75" hidden="1">
      <c r="A116" s="2437"/>
      <c r="B116" s="974"/>
      <c r="C116" s="799"/>
      <c r="D116" s="797"/>
      <c r="E116" s="610" t="str">
        <f>FHD_NUM_P_76</f>
        <v/>
      </c>
      <c r="F116" s="1944" t="str">
        <f>FHD_P_76</f>
        <v/>
      </c>
      <c r="G116" s="1940" t="s">
        <v>562</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5468" customFormat="1" customHeight="1" ht="18.75" hidden="1">
      <c r="A117" s="2437"/>
      <c r="B117" s="974"/>
      <c r="C117" s="799"/>
      <c r="D117" s="797"/>
      <c r="E117" s="610" t="str">
        <f>FHD_NUM_P_77</f>
        <v/>
      </c>
      <c r="F117" s="1944" t="str">
        <f>FHD_P_77</f>
        <v/>
      </c>
      <c r="G117" s="1940" t="s">
        <v>562</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976" customFormat="1" customHeight="1" ht="0.75" hidden="1">
      <c r="A118" s="2437"/>
      <c r="D118" s="612"/>
      <c r="E118" s="1077" t="str">
        <f>E117&amp;".0"</f>
        <v>.0</v>
      </c>
      <c r="F118" s="1061"/>
      <c r="G118" s="1715"/>
      <c r="H118" s="1056"/>
      <c r="I118" s="1056"/>
      <c r="J118" s="1060"/>
      <c r="AF118" s="1700">
        <v>0</v>
      </c>
    </row>
    <row s="5468" customFormat="1" customHeight="1" ht="15" hidden="1">
      <c r="A119" s="2437"/>
      <c r="B119" s="974"/>
      <c r="C119" s="799"/>
      <c r="D119" s="810"/>
      <c r="E119" s="1037"/>
      <c r="F119" s="1038" t="s">
        <v>599</v>
      </c>
      <c r="G119" s="811"/>
      <c r="H119" s="812"/>
      <c r="I119" s="812"/>
      <c r="J119" s="1067" t="s">
        <v>600</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601</v>
      </c>
      <c r="D120" s="1702"/>
      <c r="E120" s="610" t="str">
        <f>FHD_NUM_P_78</f>
        <v/>
      </c>
      <c r="F120" s="1944" t="str">
        <f>FHD_P_78</f>
        <v/>
      </c>
      <c r="G120" s="1941" t="s">
        <v>564</v>
      </c>
      <c r="H120" s="641"/>
      <c r="I120" s="641"/>
      <c r="J120" s="353" t="str">
        <f>FHD_NOTE_P_78</f>
        <v/>
      </c>
      <c r="K120" s="607"/>
      <c r="AF120" s="1695">
        <v>0</v>
      </c>
    </row>
    <row s="4976"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590</v>
      </c>
      <c r="G122" s="636"/>
      <c r="H122" s="637"/>
      <c r="I122" s="637"/>
      <c r="J122" s="1068" t="s">
        <v>602</v>
      </c>
      <c r="K122" s="607"/>
      <c r="AF122" s="1695">
        <v>0</v>
      </c>
    </row>
    <row customHeight="1" ht="22.5" hidden="1">
      <c r="A123" s="2435"/>
      <c r="D123" s="1702"/>
      <c r="E123" s="610" t="str">
        <f>FHD_NUM_P_79</f>
        <v/>
      </c>
      <c r="F123" s="1944" t="str">
        <f>FHD_P_79</f>
        <v/>
      </c>
      <c r="G123" s="1942" t="s">
        <v>566</v>
      </c>
      <c r="H123" s="641"/>
      <c r="I123" s="641"/>
      <c r="J123" s="353" t="str">
        <f>FHD_NOTE_P_79</f>
        <v/>
      </c>
      <c r="K123" s="607"/>
      <c r="AF123" s="1695">
        <v>0</v>
      </c>
    </row>
    <row s="4976"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590</v>
      </c>
      <c r="G125" s="636"/>
      <c r="H125" s="637"/>
      <c r="I125" s="637"/>
      <c r="J125" s="1068" t="s">
        <v>603</v>
      </c>
      <c r="K125" s="607"/>
      <c r="AF125" s="1695">
        <v>0</v>
      </c>
    </row>
    <row customHeight="1" ht="22.5" hidden="1">
      <c r="A126" s="2435"/>
      <c r="D126" s="1702"/>
      <c r="E126" s="610" t="str">
        <f>FHD_NUM_P_80</f>
        <v/>
      </c>
      <c r="F126" s="1944" t="str">
        <f>FHD_P_80</f>
        <v/>
      </c>
      <c r="G126" s="1942" t="s">
        <v>604</v>
      </c>
      <c r="H126" s="621"/>
      <c r="I126" s="621"/>
      <c r="J126" s="353" t="str">
        <f>FHD_NOTE_P_80</f>
        <v/>
      </c>
      <c r="K126" s="607"/>
      <c r="AF126" s="1695">
        <v>0</v>
      </c>
    </row>
    <row customHeight="1" ht="18.75" hidden="1">
      <c r="A127" s="2435"/>
      <c r="D127" s="1702"/>
      <c r="E127" s="610" t="str">
        <f>FHD_NUM_P_81</f>
        <v/>
      </c>
      <c r="F127" s="1944" t="str">
        <f>FHD_P_81</f>
        <v/>
      </c>
      <c r="G127" s="1942" t="s">
        <v>605</v>
      </c>
      <c r="H127" s="621"/>
      <c r="I127" s="621"/>
      <c r="J127" s="353" t="str">
        <f>FHD_NOTE_P_81</f>
        <v/>
      </c>
      <c r="K127" s="607"/>
      <c r="AF127" s="1695">
        <v>0</v>
      </c>
    </row>
    <row customHeight="1" ht="18.75" hidden="1">
      <c r="A128" s="2435"/>
      <c r="C128" s="1700" t="s">
        <v>592</v>
      </c>
      <c r="D128" s="1702"/>
      <c r="E128" s="610" t="str">
        <f>FHD_NUM_P_82</f>
        <v/>
      </c>
      <c r="F128" s="1944" t="str">
        <f>FHD_P_82</f>
        <v/>
      </c>
      <c r="G128" s="1942" t="s">
        <v>310</v>
      </c>
      <c r="H128" s="465"/>
      <c r="I128" s="465"/>
      <c r="J128" s="353" t="str">
        <f>FHD_NOTE_P_82</f>
        <v/>
      </c>
      <c r="K128" s="607"/>
      <c r="AF128" s="1695">
        <v>0</v>
      </c>
    </row>
    <row customHeight="1" ht="18.75" hidden="1">
      <c r="A129" s="2435"/>
      <c r="C129" s="1700" t="s">
        <v>592</v>
      </c>
      <c r="D129" s="1702"/>
      <c r="E129" s="610" t="str">
        <f>FHD_NUM_P_83</f>
        <v/>
      </c>
      <c r="F129" s="1588" t="str">
        <f>FHD_P_83</f>
        <v/>
      </c>
      <c r="G129" s="1942" t="s">
        <v>310</v>
      </c>
      <c r="H129" s="465"/>
      <c r="I129" s="465"/>
      <c r="J129" s="353" t="str">
        <f>FHD_NOTE_P_83</f>
        <v/>
      </c>
      <c r="K129" s="607"/>
      <c r="AF129" s="1695">
        <v>0</v>
      </c>
    </row>
    <row customHeight="1" ht="18.75" hidden="1">
      <c r="A130" s="2435"/>
      <c r="C130" s="1700" t="s">
        <v>592</v>
      </c>
      <c r="D130" s="1702"/>
      <c r="E130" s="610" t="str">
        <f>FHD_NUM_P_84</f>
        <v/>
      </c>
      <c r="F130" s="1588" t="str">
        <f>FHD_P_84</f>
        <v/>
      </c>
      <c r="G130" s="1942" t="s">
        <v>310</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710"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710"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710"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710"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710"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710"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710"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710"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710"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710"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710"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710"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710"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710"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710"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710"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710"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710"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710"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710"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710"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710"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710"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710"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710"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710"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710"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710"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710"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710"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710"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710"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710"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710"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710"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710"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710"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710"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710"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710"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710"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710"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710"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710"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710"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710"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710"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710"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710"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710"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710"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710"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710"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710"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710"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710"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710"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710"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710"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710"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710"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710"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710"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710"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710"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710"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710"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710"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710"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710"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710"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710"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710"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710"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710"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710"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710"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710"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710"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710"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710"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710"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710"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710"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710"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710"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710"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710"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710"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710"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710"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710"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710"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710"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710"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710"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710"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710"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710"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710"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710"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710"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710"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710"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710"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710"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710"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710"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710"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710"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710"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710"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710"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710"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710"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710"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710"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710"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710"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710"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710"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710"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710"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710"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710"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710"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710"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710"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710"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710"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710"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710"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710"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710"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710"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710"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710"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710"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710"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710"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710"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710"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710"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710"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710"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710"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710"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710"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710"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710"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710"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710"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710"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710"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710"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710"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83</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454BC-9118-AAF7-EF62-0.552C7D3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5021" width="14.7109375" hidden="1" customWidth="1"/>
    <col min="2" max="2" style="5712" width="17.00390625" hidden="1" customWidth="1"/>
    <col min="3" max="3" style="5468" width="3.00390625" customWidth="1"/>
    <col min="4" max="4" style="5468" width="1.8515625" hidden="1" customWidth="1"/>
    <col min="5" max="6" style="5468" width="7.00390625" customWidth="1"/>
    <col min="7" max="7" style="5468" width="29.00390625" customWidth="1"/>
    <col min="8" max="8" style="5468" width="3.7109375" customWidth="1"/>
    <col min="9" max="9" style="5468" width="5.00390625" customWidth="1"/>
    <col min="10" max="11" style="5468" width="24.00390625" customWidth="1"/>
    <col min="12" max="12" style="5468" width="3.00390625" customWidth="1"/>
    <col min="13" max="13" style="5468" width="6.00390625" customWidth="1"/>
    <col min="14" max="14" style="5468" width="25.00390625" customWidth="1"/>
    <col min="15" max="18" style="5468" width="18.00390625" customWidth="1"/>
    <col min="19" max="19" style="5468" width="93.00390625" customWidth="1"/>
    <col min="20" max="20" style="5468" width="10.00390625" customWidth="1"/>
    <col min="21" max="21" style="4976" width="10.00390625" customWidth="1"/>
    <col min="22" max="22" style="4976" width="11.00390625" customWidth="1"/>
    <col min="23" max="27" style="5712" width="10.00390625" customWidth="1"/>
    <col min="28" max="83" style="5468" width="8.00390625" customWidth="1"/>
    <col min="84" max="84" style="546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5468" customFormat="1" customHeight="1" ht="16.8">
      <c r="A6" s="674"/>
      <c r="B6" s="823"/>
      <c r="C6" s="573"/>
      <c r="D6" s="1122"/>
      <c r="E6" s="2240" t="str">
        <f>IF(org=0,"Не определено",org)</f>
        <v>Нарьян-Марское МУ ПОКиТС</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710"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304</v>
      </c>
      <c r="F9" s="2166"/>
      <c r="G9" s="2166"/>
      <c r="H9" s="2166"/>
      <c r="I9" s="2166"/>
      <c r="J9" s="2166"/>
      <c r="K9" s="2166"/>
      <c r="L9" s="2166"/>
      <c r="M9" s="2166"/>
      <c r="N9" s="2166"/>
      <c r="O9" s="2166"/>
      <c r="P9" s="2166"/>
      <c r="Q9" s="2166"/>
      <c r="R9" s="2167"/>
      <c r="S9" s="2191" t="s">
        <v>305</v>
      </c>
      <c r="T9" s="398"/>
      <c r="CF9" s="569">
        <v>19</v>
      </c>
    </row>
    <row customHeight="1" ht="48.29999999999999">
      <c r="D10" s="615" t="s">
        <v>89</v>
      </c>
      <c r="E10" s="2191" t="s">
        <v>89</v>
      </c>
      <c r="F10" s="2191"/>
      <c r="G10" s="585" t="s">
        <v>306</v>
      </c>
      <c r="H10" s="2191" t="s">
        <v>89</v>
      </c>
      <c r="I10" s="2191"/>
      <c r="J10" s="585" t="s">
        <v>606</v>
      </c>
      <c r="K10" s="585" t="s">
        <v>607</v>
      </c>
      <c r="L10" s="2191" t="s">
        <v>89</v>
      </c>
      <c r="M10" s="2191"/>
      <c r="N10" s="585" t="s">
        <v>608</v>
      </c>
      <c r="O10" s="585" t="s">
        <v>609</v>
      </c>
      <c r="P10" s="585" t="s">
        <v>610</v>
      </c>
      <c r="Q10" s="585" t="s">
        <v>611</v>
      </c>
      <c r="R10" s="585" t="s">
        <v>612</v>
      </c>
      <c r="S10" s="2191"/>
      <c r="T10" s="398"/>
      <c r="CF10" s="569">
        <v>46</v>
      </c>
    </row>
    <row s="4976" customFormat="1" customHeight="1" ht="15" hidden="1">
      <c r="A11" s="1116"/>
      <c r="D11" s="1089" t="s">
        <v>110</v>
      </c>
      <c r="E11" s="1089"/>
      <c r="F11" s="1089" t="s">
        <v>111</v>
      </c>
      <c r="G11" s="1089" t="s">
        <v>91</v>
      </c>
      <c r="H11" s="1089"/>
      <c r="I11" s="1089" t="s">
        <v>92</v>
      </c>
      <c r="J11" s="1089" t="s">
        <v>112</v>
      </c>
      <c r="K11" s="1089" t="s">
        <v>93</v>
      </c>
      <c r="L11" s="1089"/>
      <c r="M11" s="1089" t="s">
        <v>94</v>
      </c>
      <c r="N11" s="1089" t="s">
        <v>113</v>
      </c>
      <c r="O11" s="1089" t="s">
        <v>149</v>
      </c>
      <c r="P11" s="1089" t="s">
        <v>150</v>
      </c>
      <c r="Q11" s="1089" t="s">
        <v>151</v>
      </c>
      <c r="R11" s="1089" t="s">
        <v>152</v>
      </c>
      <c r="S11" s="1089" t="s">
        <v>153</v>
      </c>
      <c r="U11" s="675"/>
      <c r="V11" s="675"/>
      <c r="W11" s="675"/>
      <c r="CF11" s="575">
        <v>0</v>
      </c>
    </row>
    <row s="5468" customFormat="1" customHeight="1" ht="1.05">
      <c r="A12" s="679"/>
      <c r="B12" s="426"/>
      <c r="D12" s="612"/>
      <c r="E12" s="410"/>
      <c r="F12" s="410"/>
      <c r="Q12" s="680"/>
      <c r="R12" s="681"/>
      <c r="T12" s="682"/>
      <c r="U12" s="683"/>
      <c r="V12" s="683"/>
      <c r="W12" s="684"/>
      <c r="X12" s="426"/>
      <c r="Y12" s="426"/>
      <c r="Z12" s="426"/>
      <c r="AA12" s="426"/>
      <c r="CF12" s="573">
        <v>1</v>
      </c>
    </row>
    <row s="3710" customFormat="1" customHeight="1" ht="1.05">
      <c r="A13" s="685"/>
      <c r="B13" s="630"/>
      <c r="D13" s="612" t="s">
        <v>380</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6188" customFormat="1" customHeight="1" ht="15" hidden="1">
      <c r="A14" s="687" t="s">
        <v>118</v>
      </c>
      <c r="B14" s="688"/>
      <c r="C14" s="688"/>
      <c r="D14" s="2444" t="s">
        <v>110</v>
      </c>
      <c r="E14" s="2441" t="s">
        <v>106</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28</v>
      </c>
      <c r="AF14" s="694"/>
      <c r="AG14" s="695" t="s">
        <v>613</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6188" customFormat="1" customHeight="1" ht="15" hidden="1">
      <c r="A15" s="687"/>
      <c r="B15" s="688"/>
      <c r="C15" s="688"/>
      <c r="D15" s="2445"/>
      <c r="E15" s="2441" t="s">
        <v>568</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6188" customFormat="1" customHeight="1" ht="15" hidden="1">
      <c r="A16" s="687"/>
      <c r="B16" s="688"/>
      <c r="C16" s="688"/>
      <c r="D16" s="2445"/>
      <c r="E16" s="2441" t="s">
        <v>569</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6188" customFormat="1" customHeight="1" ht="22.5" hidden="1">
      <c r="A17" s="697"/>
      <c r="B17" s="481"/>
      <c r="C17" s="476"/>
      <c r="D17" s="2445"/>
      <c r="E17" s="2440" t="s">
        <v>614</v>
      </c>
      <c r="F17" s="2440"/>
      <c r="G17" s="2440"/>
      <c r="H17" s="2440"/>
      <c r="I17" s="2440"/>
      <c r="J17" s="2440"/>
      <c r="K17" s="2440"/>
      <c r="L17" s="2440"/>
      <c r="M17" s="2440"/>
      <c r="N17" s="2440"/>
      <c r="O17" s="2440"/>
      <c r="P17" s="2440"/>
      <c r="Q17" s="622">
        <f>SUMIF(T18:T19,"i",Q18:Q19)</f>
        <v>0</v>
      </c>
      <c r="R17" s="1081"/>
      <c r="S17" s="961" t="s">
        <v>615</v>
      </c>
      <c r="T17" s="781" t="s">
        <v>616</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6188"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6188" customFormat="1" customHeight="1" ht="11.25" hidden="1">
      <c r="A19" s="697"/>
      <c r="B19" s="481"/>
      <c r="C19" s="476"/>
      <c r="D19" s="2445"/>
      <c r="E19" s="713" t="s">
        <v>28</v>
      </c>
      <c r="F19" s="714" t="s">
        <v>28</v>
      </c>
      <c r="G19" s="714" t="s">
        <v>28</v>
      </c>
      <c r="H19" s="715" t="s">
        <v>28</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6188" customFormat="1" customHeight="1" ht="22.5" hidden="1">
      <c r="A20" s="697"/>
      <c r="B20" s="481"/>
      <c r="C20" s="476"/>
      <c r="D20" s="2445"/>
      <c r="E20" s="2440" t="s">
        <v>617</v>
      </c>
      <c r="F20" s="2440"/>
      <c r="G20" s="2440"/>
      <c r="H20" s="2440"/>
      <c r="I20" s="2440"/>
      <c r="J20" s="2440"/>
      <c r="K20" s="2440"/>
      <c r="L20" s="2440"/>
      <c r="M20" s="2440"/>
      <c r="N20" s="2440"/>
      <c r="O20" s="2440"/>
      <c r="P20" s="2440"/>
      <c r="Q20" s="622">
        <f>SUMIF(T21:T22,"i",Q21:Q22)</f>
        <v>0</v>
      </c>
      <c r="R20" s="1081"/>
      <c r="S20" s="773" t="s">
        <v>618</v>
      </c>
      <c r="T20" s="781" t="s">
        <v>616</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6188"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6188" customFormat="1" customHeight="1" ht="11.25" hidden="1">
      <c r="A22" s="697"/>
      <c r="B22" s="481"/>
      <c r="C22" s="476"/>
      <c r="D22" s="2446"/>
      <c r="E22" s="713" t="s">
        <v>28</v>
      </c>
      <c r="F22" s="714" t="s">
        <v>28</v>
      </c>
      <c r="G22" s="714" t="s">
        <v>28</v>
      </c>
      <c r="H22" s="715" t="s">
        <v>28</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83</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650F9-4A2E-7ADE-0662-0.1AA012A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851" width="10.7109375" hidden="1" customWidth="1"/>
    <col min="6" max="6" style="5416" width="16.8515625" hidden="1" customWidth="1"/>
    <col min="7" max="7" style="4976" width="5.57421875" hidden="1" customWidth="1"/>
    <col min="8" max="8" style="5468" width="3.00390625" customWidth="1"/>
    <col min="9" max="9" style="5468" width="7.00390625" customWidth="1"/>
    <col min="10" max="10" style="5468" width="56.00390625" customWidth="1"/>
    <col min="11" max="11" style="5468" width="10.00390625" customWidth="1"/>
    <col min="12" max="12" style="5468" width="40.57421875" hidden="1" customWidth="1"/>
    <col min="13" max="13" style="5468" width="40.7109375" customWidth="1"/>
    <col min="14" max="14" style="5416" width="9.7109375" hidden="1" customWidth="1"/>
    <col min="15" max="15" style="5468" width="102.00390625" customWidth="1"/>
    <col min="16" max="16" style="5416" width="9.00390625" customWidth="1"/>
    <col min="17" max="17" style="4976" width="5.00390625" customWidth="1"/>
    <col min="18" max="18" style="4976" width="3.00390625" customWidth="1"/>
    <col min="19" max="22" style="5416" width="3.00390625" customWidth="1"/>
    <col min="23" max="23" style="4976" width="10.00390625" customWidth="1"/>
    <col min="24" max="24" style="5416" width="34.00390625" customWidth="1"/>
    <col min="25" max="25" style="5416" width="9.00390625" customWidth="1"/>
    <col min="26" max="26" style="4921" width="8.00390625" customWidth="1"/>
    <col min="27" max="31" style="5416" width="8.00390625" customWidth="1"/>
    <col min="32" max="36" style="5712" width="8.00390625" customWidth="1"/>
    <col min="37" max="37" style="5468" width="5.421875" hidden="1" customWidth="1"/>
  </cols>
  <sheetData>
    <row s="5416" customFormat="1" customHeight="1" ht="33.75" hidden="1">
      <c r="A1" s="1051"/>
      <c r="B1" s="1051"/>
      <c r="C1" s="1051"/>
      <c r="D1" s="1051"/>
      <c r="E1" s="1051"/>
      <c r="G1" s="1700"/>
      <c r="H1" s="942"/>
      <c r="L1" s="1430">
        <v>4</v>
      </c>
      <c r="M1" s="1430">
        <v>4</v>
      </c>
      <c r="Q1" s="1700"/>
      <c r="R1" s="1700"/>
      <c r="W1" s="1700"/>
      <c r="AK1" s="1430" t="s">
        <v>14</v>
      </c>
    </row>
    <row s="5416" customFormat="1" customHeight="1" ht="78.75" hidden="1">
      <c r="A2" s="1051"/>
      <c r="B2" s="2117" t="s">
        <v>619</v>
      </c>
      <c r="C2" s="2117" t="s">
        <v>620</v>
      </c>
      <c r="D2" s="2116" t="s">
        <v>621</v>
      </c>
      <c r="E2" s="2120">
        <f>RIGHT(I2,LEN(I2)-SEARCH("#",SUBSTITUTE(I2,".","#",LEN(I2)-LEN(SUBSTITUTE(I2,".","")))))</f>
      </c>
      <c r="F2" s="2122">
        <f>J2</f>
        <v>0</v>
      </c>
      <c r="G2" s="1700"/>
      <c r="H2" s="2123"/>
      <c r="I2" s="2113"/>
      <c r="J2" s="604"/>
      <c r="K2" s="2083" t="s">
        <v>560</v>
      </c>
      <c r="L2" s="815"/>
      <c r="M2" s="815"/>
      <c r="N2" s="607"/>
      <c r="O2" s="1589" t="s">
        <v>561</v>
      </c>
      <c r="P2" s="607"/>
      <c r="Q2" s="1700"/>
      <c r="R2" s="1700"/>
      <c r="W2" s="1700"/>
      <c r="Z2" s="608"/>
      <c r="AF2" s="1696"/>
      <c r="AG2" s="1696"/>
      <c r="AH2" s="1696"/>
      <c r="AI2" s="1696"/>
      <c r="AJ2" s="1696"/>
      <c r="AK2" s="1430">
        <v>0</v>
      </c>
    </row>
    <row customHeight="1" ht="11.25" hidden="1">
      <c r="E3" s="2115" t="s">
        <v>622</v>
      </c>
      <c r="L3" s="1695">
        <f>0</f>
        <v>0</v>
      </c>
      <c r="M3" s="1695">
        <v>1</v>
      </c>
      <c r="AK3" s="1695">
        <v>0</v>
      </c>
    </row>
    <row s="571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623</v>
      </c>
      <c r="J6" s="2371"/>
      <c r="K6" s="2371"/>
      <c r="L6" s="2371"/>
      <c r="M6" s="2371"/>
      <c r="O6" s="620"/>
      <c r="AK6" s="1695">
        <v>55</v>
      </c>
    </row>
    <row customHeight="1" ht="25.2">
      <c r="I7" s="2313" t="str">
        <f>IF(org=0,"Не определено",org)</f>
        <v>Нарьян-Марское МУ ПОКиТС</v>
      </c>
      <c r="J7" s="2313"/>
      <c r="K7" s="2313"/>
      <c r="L7" s="2313"/>
      <c r="M7" s="2313"/>
      <c r="AK7" s="1695">
        <v>24</v>
      </c>
    </row>
    <row customHeight="1" ht="11.549999999999999">
      <c r="I8" s="1199"/>
      <c r="J8" s="1199"/>
      <c r="K8" s="1199"/>
      <c r="L8" s="1199"/>
      <c r="M8" s="1199"/>
      <c r="AK8" s="1695">
        <v>11</v>
      </c>
    </row>
    <row s="4976" customFormat="1" customHeight="1" ht="30" hidden="1">
      <c r="A9" s="1231"/>
      <c r="B9" s="1231"/>
      <c r="C9" s="1231"/>
      <c r="E9" s="1231"/>
      <c r="H9" s="1706"/>
      <c r="L9" s="953"/>
      <c r="M9" s="953" t="s">
        <v>118</v>
      </c>
      <c r="AK9" s="1700">
        <v>1</v>
      </c>
    </row>
    <row customHeight="1" ht="11.549999999999999">
      <c r="E10" s="2114" t="s">
        <v>624</v>
      </c>
      <c r="I10" s="775"/>
      <c r="J10" s="2431" t="s">
        <v>106</v>
      </c>
      <c r="K10" s="2432"/>
      <c r="L10" s="2093" t="str">
        <f>IF(L9="","",INDEX(DIFFERENTIATION_UNMERGE_VD,MATCH(L9,DIFFERENTIATION_ID_DIFF,0)))</f>
        <v/>
      </c>
      <c r="M10" s="2093">
        <f>IF(M9="","",INDEX(DIFFERENTIATION_UNMERGE_VD,MATCH(M9,DIFFERENTIATION_ID_DIFF,0)))</f>
        <v>0</v>
      </c>
      <c r="O10" s="2191" t="s">
        <v>305</v>
      </c>
      <c r="AK10" s="1695">
        <v>11</v>
      </c>
    </row>
    <row customHeight="1" ht="11.549999999999999">
      <c r="E11" s="2114" t="s">
        <v>625</v>
      </c>
      <c r="I11" s="775"/>
      <c r="J11" s="2431" t="s">
        <v>568</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626</v>
      </c>
      <c r="I12" s="1726"/>
      <c r="J12" s="2431" t="s">
        <v>569</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627</v>
      </c>
      <c r="F13" s="2114" t="s">
        <v>628</v>
      </c>
      <c r="I13" s="2433" t="s">
        <v>304</v>
      </c>
      <c r="J13" s="2434"/>
      <c r="K13" s="2434"/>
      <c r="L13" s="2091"/>
      <c r="M13" s="2131"/>
      <c r="O13" s="2191"/>
      <c r="AK13" s="1695">
        <v>11</v>
      </c>
    </row>
    <row customHeight="1" ht="24">
      <c r="I14" s="2084" t="s">
        <v>89</v>
      </c>
      <c r="J14" s="2084" t="s">
        <v>306</v>
      </c>
      <c r="K14" s="2084" t="s">
        <v>570</v>
      </c>
      <c r="L14" s="2124" t="s">
        <v>307</v>
      </c>
      <c r="M14" s="2125" t="s">
        <v>307</v>
      </c>
      <c r="O14" s="2191"/>
      <c r="AK14" s="1695">
        <v>23</v>
      </c>
    </row>
    <row customHeight="1" ht="24">
      <c r="A15" s="2118"/>
      <c r="B15" s="2117" t="s">
        <v>629</v>
      </c>
      <c r="C15" s="2117" t="s">
        <v>630</v>
      </c>
      <c r="D15" s="2116" t="s">
        <v>631</v>
      </c>
      <c r="E15" s="2120" t="s">
        <v>632</v>
      </c>
      <c r="F15" s="2120" t="s">
        <v>632</v>
      </c>
      <c r="G15" s="1700" t="s">
        <v>592</v>
      </c>
      <c r="H15" s="2085"/>
      <c r="I15" s="1694">
        <v>1</v>
      </c>
      <c r="J15" s="2086" t="s">
        <v>633</v>
      </c>
      <c r="K15" s="2084" t="s">
        <v>310</v>
      </c>
      <c r="L15" s="726"/>
      <c r="M15" s="882"/>
      <c r="N15" s="607" t="s">
        <v>634</v>
      </c>
      <c r="O15" s="1589" t="s">
        <v>635</v>
      </c>
      <c r="P15" s="607" t="s">
        <v>634</v>
      </c>
      <c r="AK15" s="1695">
        <v>23</v>
      </c>
    </row>
    <row customHeight="1" ht="35.699999999999996">
      <c r="A16" s="2118"/>
      <c r="B16" s="2117" t="s">
        <v>636</v>
      </c>
      <c r="C16" s="2117" t="s">
        <v>637</v>
      </c>
      <c r="D16" s="2116" t="s">
        <v>621</v>
      </c>
      <c r="E16" s="2120" t="s">
        <v>632</v>
      </c>
      <c r="F16" s="2120" t="s">
        <v>632</v>
      </c>
      <c r="H16" s="2085"/>
      <c r="I16" s="1693">
        <v>2</v>
      </c>
      <c r="J16" s="2127" t="s">
        <v>638</v>
      </c>
      <c r="K16" s="2126" t="s">
        <v>560</v>
      </c>
      <c r="L16" s="2132"/>
      <c r="M16" s="1740"/>
      <c r="N16" s="607" t="s">
        <v>634</v>
      </c>
      <c r="O16" s="1589" t="s">
        <v>639</v>
      </c>
      <c r="P16" s="607" t="s">
        <v>634</v>
      </c>
      <c r="AK16" s="1695">
        <v>34</v>
      </c>
    </row>
    <row s="4976" customFormat="1" customHeight="1" ht="17.25" hidden="1">
      <c r="A17" s="1231"/>
      <c r="B17" s="1231"/>
      <c r="C17" s="1231"/>
      <c r="D17" s="1231"/>
      <c r="E17" s="1231"/>
      <c r="H17" s="1388"/>
      <c r="I17" s="1077" t="s">
        <v>640</v>
      </c>
      <c r="J17" s="1055"/>
      <c r="K17" s="1077"/>
      <c r="L17" s="1056"/>
      <c r="M17" s="1056"/>
      <c r="O17" s="1449"/>
      <c r="AK17" s="1700">
        <v>1</v>
      </c>
    </row>
    <row s="5416" customFormat="1" customHeight="1" ht="24">
      <c r="A18" s="1051"/>
      <c r="B18" s="1051"/>
      <c r="C18" s="1051"/>
      <c r="D18" s="1051"/>
      <c r="E18" s="1051"/>
      <c r="G18" s="1700"/>
      <c r="H18" s="1697"/>
      <c r="I18" s="634"/>
      <c r="J18" s="635" t="s">
        <v>590</v>
      </c>
      <c r="K18" s="636"/>
      <c r="L18" s="2134"/>
      <c r="M18" s="637"/>
      <c r="N18" s="607"/>
      <c r="O18" s="1589" t="s">
        <v>591</v>
      </c>
      <c r="P18" s="607"/>
      <c r="Q18" s="1700"/>
      <c r="R18" s="1700"/>
      <c r="W18" s="1700"/>
      <c r="Z18" s="608"/>
      <c r="AF18" s="1696"/>
      <c r="AG18" s="1696"/>
      <c r="AH18" s="1696"/>
      <c r="AI18" s="1696"/>
      <c r="AJ18" s="1696"/>
      <c r="AK18" s="1430">
        <v>23</v>
      </c>
    </row>
    <row customHeight="1" ht="19.95">
      <c r="A19" s="2118"/>
      <c r="B19" s="2117" t="s">
        <v>641</v>
      </c>
      <c r="C19" s="2117" t="s">
        <v>642</v>
      </c>
      <c r="D19" s="2116" t="s">
        <v>621</v>
      </c>
      <c r="E19" s="2120" t="s">
        <v>632</v>
      </c>
      <c r="F19" s="2120" t="s">
        <v>632</v>
      </c>
      <c r="H19" s="2085"/>
      <c r="I19" s="1728">
        <v>3</v>
      </c>
      <c r="J19" s="2086" t="s">
        <v>642</v>
      </c>
      <c r="K19" s="2082" t="s">
        <v>560</v>
      </c>
      <c r="L19" s="791"/>
      <c r="M19" s="621"/>
      <c r="N19" s="607"/>
      <c r="O19" s="1589" t="s">
        <v>643</v>
      </c>
      <c r="P19" s="607"/>
      <c r="AK19" s="1695">
        <v>19</v>
      </c>
    </row>
    <row customHeight="1" ht="77.7">
      <c r="A20" s="2118"/>
      <c r="B20" s="2117" t="s">
        <v>644</v>
      </c>
      <c r="C20" s="2117" t="s">
        <v>645</v>
      </c>
      <c r="D20" s="2116" t="s">
        <v>621</v>
      </c>
      <c r="E20" s="2120" t="s">
        <v>632</v>
      </c>
      <c r="F20" s="2120" t="s">
        <v>632</v>
      </c>
      <c r="H20" s="2085"/>
      <c r="I20" s="1728">
        <v>4</v>
      </c>
      <c r="J20" s="2086" t="s">
        <v>646</v>
      </c>
      <c r="K20" s="2082" t="s">
        <v>587</v>
      </c>
      <c r="L20" s="791"/>
      <c r="M20" s="621"/>
      <c r="N20" s="607"/>
      <c r="O20" s="1589"/>
      <c r="P20" s="607"/>
      <c r="AK20" s="1695">
        <v>74</v>
      </c>
    </row>
    <row customHeight="1" ht="35.699999999999996">
      <c r="A21" s="2118"/>
      <c r="B21" s="2117" t="s">
        <v>647</v>
      </c>
      <c r="C21" s="2117" t="s">
        <v>648</v>
      </c>
      <c r="D21" s="2116" t="s">
        <v>621</v>
      </c>
      <c r="E21" s="2120" t="s">
        <v>632</v>
      </c>
      <c r="F21" s="2120" t="s">
        <v>632</v>
      </c>
      <c r="H21" s="2085"/>
      <c r="I21" s="1728">
        <v>5</v>
      </c>
      <c r="J21" s="2086" t="s">
        <v>649</v>
      </c>
      <c r="K21" s="2082" t="s">
        <v>587</v>
      </c>
      <c r="L21" s="791"/>
      <c r="M21" s="621"/>
      <c r="N21" s="607"/>
      <c r="O21" s="1589" t="s">
        <v>643</v>
      </c>
      <c r="P21" s="607"/>
      <c r="AK21" s="1695">
        <v>34</v>
      </c>
    </row>
    <row customHeight="1" ht="48.29999999999999">
      <c r="A22" s="2118"/>
      <c r="B22" s="2117" t="s">
        <v>650</v>
      </c>
      <c r="C22" s="2117" t="s">
        <v>651</v>
      </c>
      <c r="D22" s="2116" t="s">
        <v>621</v>
      </c>
      <c r="E22" s="2120" t="s">
        <v>632</v>
      </c>
      <c r="F22" s="2120" t="s">
        <v>632</v>
      </c>
      <c r="H22" s="2085"/>
      <c r="I22" s="1728">
        <v>6</v>
      </c>
      <c r="J22" s="2086" t="s">
        <v>652</v>
      </c>
      <c r="K22" s="2082" t="s">
        <v>587</v>
      </c>
      <c r="L22" s="791"/>
      <c r="M22" s="621"/>
      <c r="N22" s="607"/>
      <c r="O22" s="1589" t="s">
        <v>653</v>
      </c>
      <c r="P22" s="607"/>
      <c r="AK22" s="1695">
        <v>46</v>
      </c>
    </row>
    <row customHeight="1" ht="19.95">
      <c r="A23" s="2118"/>
      <c r="B23" s="2117" t="s">
        <v>654</v>
      </c>
      <c r="C23" s="2117" t="s">
        <v>655</v>
      </c>
      <c r="D23" s="2116" t="s">
        <v>621</v>
      </c>
      <c r="E23" s="2120" t="s">
        <v>632</v>
      </c>
      <c r="F23" s="2120" t="s">
        <v>632</v>
      </c>
      <c r="H23" s="2085"/>
      <c r="I23" s="1728" t="s">
        <v>656</v>
      </c>
      <c r="J23" s="1588" t="s">
        <v>657</v>
      </c>
      <c r="K23" s="2082" t="s">
        <v>587</v>
      </c>
      <c r="L23" s="791"/>
      <c r="M23" s="621"/>
      <c r="N23" s="607"/>
      <c r="O23" s="1589" t="s">
        <v>643</v>
      </c>
      <c r="P23" s="607"/>
      <c r="AK23" s="1695">
        <v>19</v>
      </c>
    </row>
    <row customHeight="1" ht="19.95">
      <c r="A24" s="2118"/>
      <c r="B24" s="2117" t="s">
        <v>658</v>
      </c>
      <c r="C24" s="2117" t="s">
        <v>659</v>
      </c>
      <c r="D24" s="2116" t="s">
        <v>621</v>
      </c>
      <c r="E24" s="2120" t="s">
        <v>632</v>
      </c>
      <c r="F24" s="2120" t="s">
        <v>632</v>
      </c>
      <c r="H24" s="2085"/>
      <c r="I24" s="1728" t="s">
        <v>660</v>
      </c>
      <c r="J24" s="1588" t="s">
        <v>661</v>
      </c>
      <c r="K24" s="2082" t="s">
        <v>587</v>
      </c>
      <c r="L24" s="791"/>
      <c r="M24" s="621"/>
      <c r="N24" s="607"/>
      <c r="O24" s="1589"/>
      <c r="P24" s="607"/>
      <c r="AK24" s="1695">
        <v>19</v>
      </c>
    </row>
    <row customHeight="1" ht="24">
      <c r="A25" s="2118"/>
      <c r="B25" s="2117" t="s">
        <v>662</v>
      </c>
      <c r="C25" s="2117" t="s">
        <v>663</v>
      </c>
      <c r="D25" s="2116" t="s">
        <v>621</v>
      </c>
      <c r="E25" s="2120" t="s">
        <v>632</v>
      </c>
      <c r="F25" s="2120" t="s">
        <v>632</v>
      </c>
      <c r="H25" s="2085"/>
      <c r="I25" s="1728" t="s">
        <v>664</v>
      </c>
      <c r="J25" s="1588" t="s">
        <v>665</v>
      </c>
      <c r="K25" s="2082" t="s">
        <v>587</v>
      </c>
      <c r="L25" s="791"/>
      <c r="M25" s="621"/>
      <c r="N25" s="607"/>
      <c r="O25" s="1589"/>
      <c r="P25" s="607"/>
      <c r="AK25" s="1695">
        <v>23</v>
      </c>
    </row>
    <row customHeight="1" ht="24">
      <c r="A26" s="2118"/>
      <c r="B26" s="2117" t="s">
        <v>666</v>
      </c>
      <c r="C26" s="2117" t="s">
        <v>667</v>
      </c>
      <c r="D26" s="2116" t="s">
        <v>621</v>
      </c>
      <c r="E26" s="2120" t="s">
        <v>632</v>
      </c>
      <c r="F26" s="2120" t="s">
        <v>632</v>
      </c>
      <c r="H26" s="2085"/>
      <c r="I26" s="1728">
        <v>7</v>
      </c>
      <c r="J26" s="2086" t="s">
        <v>667</v>
      </c>
      <c r="K26" s="2082" t="s">
        <v>668</v>
      </c>
      <c r="L26" s="791"/>
      <c r="M26" s="621"/>
      <c r="N26" s="607"/>
      <c r="O26" s="1589"/>
      <c r="P26" s="607"/>
      <c r="AK26" s="1695">
        <v>23</v>
      </c>
    </row>
    <row customHeight="1" ht="24">
      <c r="A27" s="2118"/>
      <c r="B27" s="2117" t="s">
        <v>669</v>
      </c>
      <c r="C27" s="2117" t="s">
        <v>670</v>
      </c>
      <c r="D27" s="2116" t="s">
        <v>621</v>
      </c>
      <c r="E27" s="2120" t="s">
        <v>632</v>
      </c>
      <c r="F27" s="2120" t="s">
        <v>632</v>
      </c>
      <c r="H27" s="2085"/>
      <c r="I27" s="1728">
        <v>8</v>
      </c>
      <c r="J27" s="2086" t="s">
        <v>670</v>
      </c>
      <c r="K27" s="2082" t="s">
        <v>593</v>
      </c>
      <c r="L27" s="791"/>
      <c r="M27" s="621"/>
      <c r="N27" s="607"/>
      <c r="O27" s="1589"/>
      <c r="P27" s="607"/>
      <c r="AK27" s="1695">
        <v>23</v>
      </c>
    </row>
    <row customHeight="1" ht="35.699999999999996">
      <c r="A28" s="2118"/>
      <c r="B28" s="2117" t="s">
        <v>671</v>
      </c>
      <c r="C28" s="2117" t="s">
        <v>672</v>
      </c>
      <c r="D28" s="2116" t="s">
        <v>621</v>
      </c>
      <c r="E28" s="2120" t="s">
        <v>632</v>
      </c>
      <c r="F28" s="2120" t="s">
        <v>632</v>
      </c>
      <c r="H28" s="2085"/>
      <c r="I28" s="1739">
        <v>9</v>
      </c>
      <c r="J28" s="2086" t="s">
        <v>673</v>
      </c>
      <c r="K28" s="2082" t="s">
        <v>564</v>
      </c>
      <c r="L28" s="791"/>
      <c r="M28" s="621"/>
      <c r="N28" s="607"/>
      <c r="O28" s="1589"/>
      <c r="P28" s="607"/>
      <c r="AK28" s="1695">
        <v>34</v>
      </c>
    </row>
    <row customHeight="1" ht="35.699999999999996">
      <c r="A29" s="2118"/>
      <c r="B29" s="2117" t="s">
        <v>674</v>
      </c>
      <c r="C29" s="2117" t="s">
        <v>675</v>
      </c>
      <c r="D29" s="2116" t="s">
        <v>621</v>
      </c>
      <c r="E29" s="2120" t="s">
        <v>632</v>
      </c>
      <c r="F29" s="2120" t="s">
        <v>632</v>
      </c>
      <c r="H29" s="2085"/>
      <c r="I29" s="1739">
        <v>10</v>
      </c>
      <c r="J29" s="2086" t="s">
        <v>676</v>
      </c>
      <c r="K29" s="2082" t="s">
        <v>564</v>
      </c>
      <c r="L29" s="791"/>
      <c r="M29" s="621"/>
      <c r="N29" s="607"/>
      <c r="O29" s="1589"/>
      <c r="P29" s="607"/>
      <c r="AK29" s="1695">
        <v>34</v>
      </c>
    </row>
    <row customHeight="1" ht="24">
      <c r="A30" s="2118"/>
      <c r="B30" s="2117" t="s">
        <v>677</v>
      </c>
      <c r="C30" s="2117" t="s">
        <v>678</v>
      </c>
      <c r="D30" s="2116" t="s">
        <v>621</v>
      </c>
      <c r="E30" s="2120" t="s">
        <v>632</v>
      </c>
      <c r="F30" s="2120" t="s">
        <v>632</v>
      </c>
      <c r="H30" s="2085"/>
      <c r="I30" s="1739">
        <v>11</v>
      </c>
      <c r="J30" s="2086" t="s">
        <v>678</v>
      </c>
      <c r="K30" s="2082" t="s">
        <v>594</v>
      </c>
      <c r="L30" s="2133"/>
      <c r="M30" s="1685"/>
      <c r="N30" s="607"/>
      <c r="O30" s="1589"/>
      <c r="P30" s="607"/>
      <c r="AK30" s="1695">
        <v>23</v>
      </c>
    </row>
    <row customHeight="1" ht="24">
      <c r="A31" s="2118"/>
      <c r="B31" s="2117" t="s">
        <v>679</v>
      </c>
      <c r="C31" s="2117" t="s">
        <v>680</v>
      </c>
      <c r="D31" s="2116" t="s">
        <v>621</v>
      </c>
      <c r="E31" s="2120" t="s">
        <v>632</v>
      </c>
      <c r="F31" s="2120" t="s">
        <v>632</v>
      </c>
      <c r="H31" s="2085"/>
      <c r="I31" s="1739">
        <v>12</v>
      </c>
      <c r="J31" s="2086" t="s">
        <v>680</v>
      </c>
      <c r="K31" s="2082" t="s">
        <v>594</v>
      </c>
      <c r="L31" s="2133"/>
      <c r="M31" s="1685"/>
      <c r="N31" s="607"/>
      <c r="O31" s="1589"/>
      <c r="P31" s="607"/>
      <c r="AK31" s="1695">
        <v>23</v>
      </c>
    </row>
    <row customHeight="1" ht="48.29999999999999">
      <c r="A32" s="2118"/>
      <c r="B32" s="2117" t="s">
        <v>681</v>
      </c>
      <c r="C32" s="2117" t="s">
        <v>682</v>
      </c>
      <c r="D32" s="2116" t="s">
        <v>621</v>
      </c>
      <c r="E32" s="2120" t="s">
        <v>632</v>
      </c>
      <c r="F32" s="2120" t="s">
        <v>632</v>
      </c>
      <c r="H32" s="2085"/>
      <c r="I32" s="1739">
        <v>13</v>
      </c>
      <c r="J32" s="2086" t="s">
        <v>683</v>
      </c>
      <c r="K32" s="2082" t="s">
        <v>604</v>
      </c>
      <c r="L32" s="791"/>
      <c r="M32" s="621"/>
      <c r="N32" s="607"/>
      <c r="O32" s="1589" t="s">
        <v>643</v>
      </c>
      <c r="P32" s="607"/>
      <c r="AK32" s="1695">
        <v>46</v>
      </c>
    </row>
    <row s="5416" customFormat="1" customHeight="1" ht="48.29999999999999">
      <c r="A33" s="2118"/>
      <c r="B33" s="2117" t="s">
        <v>684</v>
      </c>
      <c r="C33" s="2117" t="s">
        <v>685</v>
      </c>
      <c r="D33" s="2116" t="s">
        <v>621</v>
      </c>
      <c r="E33" s="2120" t="s">
        <v>632</v>
      </c>
      <c r="F33" s="2120" t="s">
        <v>632</v>
      </c>
      <c r="G33" s="1700"/>
      <c r="H33" s="2085"/>
      <c r="I33" s="1739">
        <v>14</v>
      </c>
      <c r="J33" s="2098" t="s">
        <v>686</v>
      </c>
      <c r="K33" s="2087" t="s">
        <v>687</v>
      </c>
      <c r="L33" s="791"/>
      <c r="M33" s="621"/>
      <c r="N33" s="607"/>
      <c r="O33" s="1589" t="s">
        <v>643</v>
      </c>
      <c r="P33" s="607"/>
      <c r="Q33" s="1700"/>
      <c r="R33" s="1700"/>
      <c r="W33" s="1700"/>
      <c r="Z33" s="608"/>
      <c r="AF33" s="1696"/>
      <c r="AG33" s="1696"/>
      <c r="AH33" s="1696"/>
      <c r="AI33" s="1696"/>
      <c r="AJ33" s="1696"/>
      <c r="AK33" s="1430">
        <v>46</v>
      </c>
    </row>
    <row customHeight="1" ht="108">
      <c r="A34" s="2118"/>
      <c r="B34" s="2117" t="s">
        <v>688</v>
      </c>
      <c r="C34" s="2117" t="s">
        <v>689</v>
      </c>
      <c r="D34" s="2116" t="s">
        <v>631</v>
      </c>
      <c r="E34" s="2120" t="s">
        <v>632</v>
      </c>
      <c r="F34" s="2120" t="s">
        <v>632</v>
      </c>
      <c r="G34" s="1700" t="s">
        <v>592</v>
      </c>
      <c r="H34" s="2085"/>
      <c r="I34" s="2096">
        <v>15</v>
      </c>
      <c r="J34" s="2097" t="s">
        <v>690</v>
      </c>
      <c r="K34" s="2082" t="s">
        <v>310</v>
      </c>
      <c r="L34" s="449"/>
      <c r="M34" s="1228"/>
      <c r="N34" s="607"/>
      <c r="O34" s="1589" t="s">
        <v>635</v>
      </c>
      <c r="P34" s="607"/>
      <c r="AK34" s="1695">
        <v>103</v>
      </c>
    </row>
    <row s="3710"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710"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710"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710"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710"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710"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710"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710"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710"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710"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710"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710"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710"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710"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710"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710"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710"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710"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710"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710"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710"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710"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710"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710"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710"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710"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710"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710"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710"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710"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710"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710"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710"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710"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710"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710"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710"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710"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710"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710"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710"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710"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710"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710"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710"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710"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710"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710"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710"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710"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710"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710"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710"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710"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710"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710"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710"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710"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710"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710"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710"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710"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710"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710"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710"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710"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710"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710"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710"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710"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710"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710"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710"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710"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710"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710"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710"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710"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710"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710"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710"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710"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710"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710"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710"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710"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710"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710"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710"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710"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710"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710"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710"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710"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710"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710"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710"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710"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710"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710"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710"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710"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710"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710"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710"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710"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710"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710"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710"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710"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710"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710"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710"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710"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710"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710"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710"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710"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710"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710"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710"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710"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710"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710"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710"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710"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710"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710"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710"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710"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710"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710"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710"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710"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710"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710"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710"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710"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710"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710"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710"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710"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710"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710"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710"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710"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710"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710"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710"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710"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710"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710"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710"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710"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710"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83</v>
      </c>
      <c r="B204" s="1051" t="s">
        <v>150</v>
      </c>
      <c r="C204" s="1051" t="s">
        <v>150</v>
      </c>
      <c r="D204" s="1051" t="s">
        <v>150</v>
      </c>
      <c r="E204" s="1051" t="s">
        <v>150</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FEE77-C13F-091F-6A8C-0.FD8EC4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468" width="10.57421875" hidden="1"/>
    <col min="5" max="5" style="6151" width="9.140625" hidden="1" customWidth="1"/>
    <col min="6" max="7" style="5416" width="9.140625" hidden="1" customWidth="1"/>
    <col min="8" max="8" style="5437" width="3.00390625" customWidth="1"/>
    <col min="9" max="9" style="5468" width="6.00390625" customWidth="1"/>
    <col min="10" max="10" style="5468" width="63.00390625" customWidth="1"/>
    <col min="11" max="11" style="5468" width="9.00390625" customWidth="1"/>
    <col min="12" max="12" style="5468" width="39.00390625" customWidth="1"/>
    <col min="13" max="13" style="5468" width="89.00390625" customWidth="1"/>
    <col min="14" max="14" style="5468" width="10.00390625" customWidth="1"/>
    <col min="15" max="16" style="5419" width="10.00390625" customWidth="1"/>
    <col min="17" max="22" style="5468" width="10.00390625" customWidth="1"/>
    <col min="23" max="23" style="5468" width="10.57421875" hidden="1"/>
  </cols>
  <sheetData>
    <row customHeight="1" ht="22.5" hidden="1">
      <c r="S1" s="319"/>
      <c r="T1" s="319"/>
      <c r="V1" s="319"/>
      <c r="W1" s="1695" t="s">
        <v>14</v>
      </c>
    </row>
    <row customHeight="1" ht="22.5" hidden="1">
      <c r="B2" s="2117" t="s">
        <v>691</v>
      </c>
      <c r="C2" s="2117" t="s">
        <v>692</v>
      </c>
      <c r="D2" s="2116" t="s">
        <v>631</v>
      </c>
      <c r="E2" s="2122">
        <f>I2-3</f>
        <v>-3</v>
      </c>
      <c r="F2" s="2122">
        <f>J2</f>
        <v>0</v>
      </c>
      <c r="H2" s="1794" t="s">
        <v>533</v>
      </c>
      <c r="I2" s="2088"/>
      <c r="J2" s="1746"/>
      <c r="K2" s="2082" t="s">
        <v>310</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693</v>
      </c>
      <c r="J5" s="2312"/>
      <c r="K5" s="2312"/>
      <c r="L5" s="2312"/>
      <c r="M5" s="330"/>
      <c r="W5" s="1695">
        <v>48</v>
      </c>
    </row>
    <row customHeight="1" ht="18">
      <c r="H6" s="440"/>
      <c r="I6" s="2313" t="str">
        <f>IF(org=0,"Не определено",org)</f>
        <v>Нарьян-Марское МУ ПОКиТС</v>
      </c>
      <c r="J6" s="2313"/>
      <c r="K6" s="2313"/>
      <c r="L6" s="2313"/>
      <c r="M6" s="330"/>
      <c r="W6" s="1695">
        <v>17</v>
      </c>
    </row>
    <row customHeight="1" ht="14.699999999999998">
      <c r="H7" s="440"/>
      <c r="I7" s="521"/>
      <c r="J7" s="527"/>
      <c r="K7" s="527"/>
      <c r="L7" s="816"/>
      <c r="M7" s="257"/>
      <c r="W7" s="1695">
        <v>14</v>
      </c>
    </row>
    <row customHeight="1" ht="14.699999999999998">
      <c r="H8" s="440"/>
      <c r="I8" s="2450" t="s">
        <v>304</v>
      </c>
      <c r="J8" s="2451"/>
      <c r="K8" s="2451"/>
      <c r="L8" s="2452"/>
      <c r="M8" s="2453" t="s">
        <v>305</v>
      </c>
      <c r="W8" s="1695">
        <v>14</v>
      </c>
    </row>
    <row customHeight="1" ht="35.699999999999996">
      <c r="E9" s="2115" t="s">
        <v>622</v>
      </c>
      <c r="F9" s="2115" t="s">
        <v>628</v>
      </c>
      <c r="H9" s="440"/>
      <c r="I9" s="2089" t="s">
        <v>89</v>
      </c>
      <c r="J9" s="2090" t="s">
        <v>306</v>
      </c>
      <c r="K9" s="2128" t="s">
        <v>570</v>
      </c>
      <c r="L9" s="2129" t="s">
        <v>307</v>
      </c>
      <c r="M9" s="2453"/>
      <c r="W9" s="1695">
        <v>34</v>
      </c>
    </row>
    <row customHeight="1" ht="35.699999999999996">
      <c r="B10" s="2117" t="s">
        <v>694</v>
      </c>
      <c r="C10" s="2117" t="s">
        <v>695</v>
      </c>
      <c r="D10" s="2116" t="s">
        <v>631</v>
      </c>
      <c r="E10" s="2120" t="s">
        <v>632</v>
      </c>
      <c r="F10" s="2120" t="s">
        <v>632</v>
      </c>
      <c r="H10" s="440"/>
      <c r="I10" s="2088" t="s">
        <v>110</v>
      </c>
      <c r="J10" s="1950" t="s">
        <v>696</v>
      </c>
      <c r="K10" s="2082" t="s">
        <v>310</v>
      </c>
      <c r="L10" s="882"/>
      <c r="M10" s="361" t="s">
        <v>697</v>
      </c>
      <c r="W10" s="1695">
        <v>34</v>
      </c>
    </row>
    <row customHeight="1" ht="50.25">
      <c r="B11" s="2117" t="s">
        <v>698</v>
      </c>
      <c r="C11" s="2117" t="s">
        <v>699</v>
      </c>
      <c r="D11" s="2116" t="s">
        <v>631</v>
      </c>
      <c r="E11" s="2120" t="s">
        <v>632</v>
      </c>
      <c r="F11" s="2120" t="s">
        <v>632</v>
      </c>
      <c r="H11" s="440"/>
      <c r="I11" s="2088" t="s">
        <v>111</v>
      </c>
      <c r="J11" s="1950" t="s">
        <v>700</v>
      </c>
      <c r="K11" s="2082" t="s">
        <v>310</v>
      </c>
      <c r="L11" s="882"/>
      <c r="M11" s="361" t="s">
        <v>697</v>
      </c>
      <c r="W11" s="1695">
        <v>48</v>
      </c>
    </row>
    <row customHeight="1" ht="48.29999999999999">
      <c r="B12" s="2117" t="s">
        <v>701</v>
      </c>
      <c r="C12" s="2117" t="s">
        <v>702</v>
      </c>
      <c r="D12" s="2116" t="s">
        <v>631</v>
      </c>
      <c r="E12" s="2120" t="s">
        <v>632</v>
      </c>
      <c r="F12" s="2120" t="s">
        <v>632</v>
      </c>
      <c r="H12" s="1752"/>
      <c r="I12" s="2088" t="s">
        <v>91</v>
      </c>
      <c r="J12" s="2095" t="s">
        <v>703</v>
      </c>
      <c r="K12" s="2082" t="s">
        <v>310</v>
      </c>
      <c r="L12" s="882"/>
      <c r="M12" s="361" t="s">
        <v>704</v>
      </c>
      <c r="N12" s="1688"/>
      <c r="P12" s="1695"/>
      <c r="W12" s="1695">
        <v>46</v>
      </c>
    </row>
    <row customHeight="1" ht="14.699999999999998">
      <c r="E13" s="407"/>
      <c r="H13" s="440"/>
      <c r="I13" s="411"/>
      <c r="J13" s="715" t="s">
        <v>705</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83</v>
      </c>
      <c r="B16" s="1695">
        <v>9</v>
      </c>
      <c r="C16" s="1695">
        <v>9</v>
      </c>
      <c r="D16" s="1695">
        <v>9</v>
      </c>
      <c r="E16" s="2094" t="s">
        <v>149</v>
      </c>
      <c r="F16" s="2119" t="s">
        <v>149</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5A85F-2BF2-CEB9-85AF-0.231DB6C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851" width="10.7109375" hidden="1" customWidth="1"/>
    <col min="2" max="2" style="5416" width="16.8515625" hidden="1" customWidth="1"/>
    <col min="3" max="3" style="4976" width="5.57421875" hidden="1" customWidth="1"/>
    <col min="4" max="4" style="5468" width="3.00390625" customWidth="1"/>
    <col min="5" max="5" style="5468" width="7.00390625" customWidth="1"/>
    <col min="6" max="6" style="5468" width="56.00390625" customWidth="1"/>
    <col min="7" max="7" style="5468" width="10.00390625" customWidth="1"/>
    <col min="8" max="8" style="5468" width="40.7109375" hidden="1" customWidth="1"/>
    <col min="9" max="9" style="5468" width="40.00390625" customWidth="1"/>
    <col min="10" max="10" style="5468" width="102.00390625" customWidth="1"/>
    <col min="11" max="11" style="5416" width="9.00390625" customWidth="1"/>
    <col min="12" max="12" style="4976" width="5.00390625" customWidth="1"/>
    <col min="13" max="13" style="4976" width="3.00390625" customWidth="1"/>
    <col min="14" max="17" style="5416" width="3.00390625" customWidth="1"/>
    <col min="18" max="18" style="4976" width="10.00390625" customWidth="1"/>
    <col min="19" max="19" style="5416" width="34.00390625" customWidth="1"/>
    <col min="20" max="20" style="5416" width="9.00390625" customWidth="1"/>
    <col min="21" max="21" style="4921" width="8.00390625" customWidth="1"/>
    <col min="22" max="26" style="5416" width="8.00390625" customWidth="1"/>
    <col min="27" max="31" style="5712" width="8.00390625" customWidth="1"/>
    <col min="32" max="32" style="5468" width="10.421875" hidden="1" customWidth="1"/>
  </cols>
  <sheetData>
    <row s="5416" customFormat="1" customHeight="1" ht="22.5" hidden="1">
      <c r="A1" s="1051"/>
      <c r="C1" s="1700"/>
      <c r="D1" s="601"/>
      <c r="H1" s="1224">
        <v>4</v>
      </c>
      <c r="I1" s="1224">
        <v>4</v>
      </c>
      <c r="L1" s="1700"/>
      <c r="M1" s="1700"/>
      <c r="R1" s="1700"/>
      <c r="AF1" s="1224" t="s">
        <v>14</v>
      </c>
    </row>
    <row s="5416" customFormat="1" customHeight="1" ht="22.5" hidden="1">
      <c r="A2" s="1051"/>
      <c r="C2" s="1700"/>
      <c r="D2" s="602"/>
      <c r="E2" s="1701"/>
      <c r="F2" s="604"/>
      <c r="G2" s="1703" t="s">
        <v>556</v>
      </c>
      <c r="H2" s="605"/>
      <c r="I2" s="605"/>
      <c r="J2" s="606" t="s">
        <v>706</v>
      </c>
      <c r="K2" s="607"/>
      <c r="L2" s="1700"/>
      <c r="M2" s="1700"/>
      <c r="R2" s="1700"/>
      <c r="U2" s="608"/>
      <c r="AA2" s="1696"/>
      <c r="AB2" s="1696"/>
      <c r="AC2" s="1696"/>
      <c r="AD2" s="1696"/>
      <c r="AE2" s="1696"/>
      <c r="AF2" s="1224">
        <v>0</v>
      </c>
    </row>
    <row customHeight="1" ht="11.25" hidden="1">
      <c r="AF3" s="1695">
        <v>0</v>
      </c>
    </row>
    <row s="571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707</v>
      </c>
      <c r="F6" s="2371"/>
      <c r="G6" s="2371"/>
      <c r="H6" s="2371"/>
      <c r="I6" s="2371"/>
      <c r="J6" s="620"/>
      <c r="AF6" s="1695">
        <v>30</v>
      </c>
    </row>
    <row customHeight="1" ht="11.549999999999999">
      <c r="E7" s="2313" t="str">
        <f>IF(org=0,"Не определено",org)</f>
        <v>Нарьян-Марское МУ ПОКиТС</v>
      </c>
      <c r="F7" s="2313"/>
      <c r="G7" s="2313"/>
      <c r="H7" s="2313"/>
      <c r="I7" s="2313"/>
      <c r="AF7" s="1695">
        <v>11</v>
      </c>
    </row>
    <row customHeight="1" ht="11.549999999999999">
      <c r="E8" s="1199"/>
      <c r="F8" s="1199"/>
      <c r="G8" s="1199"/>
      <c r="H8" s="1199"/>
      <c r="I8" s="1199"/>
      <c r="AF8" s="1695">
        <v>11</v>
      </c>
    </row>
    <row s="4976" customFormat="1" customHeight="1" ht="4.2">
      <c r="A9" s="1231"/>
      <c r="D9" s="1706"/>
      <c r="H9" s="953"/>
      <c r="I9" s="953" t="s">
        <v>118</v>
      </c>
      <c r="AF9" s="1700">
        <v>4</v>
      </c>
    </row>
    <row customHeight="1" ht="11.549999999999999">
      <c r="E10" s="775"/>
      <c r="F10" s="2431" t="s">
        <v>106</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568</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304</v>
      </c>
      <c r="F13" s="2434"/>
      <c r="G13" s="2434"/>
      <c r="H13" s="1615"/>
      <c r="I13" s="1615"/>
      <c r="J13" s="2191"/>
      <c r="AF13" s="1695">
        <v>11</v>
      </c>
    </row>
    <row customHeight="1" ht="24">
      <c r="E14" s="1703" t="s">
        <v>89</v>
      </c>
      <c r="F14" s="1698" t="s">
        <v>306</v>
      </c>
      <c r="G14" s="1698" t="s">
        <v>570</v>
      </c>
      <c r="H14" s="1698" t="s">
        <v>307</v>
      </c>
      <c r="I14" s="1698" t="s">
        <v>307</v>
      </c>
      <c r="J14" s="2191"/>
      <c r="AF14" s="1695">
        <v>23</v>
      </c>
    </row>
    <row customHeight="1" ht="19.95">
      <c r="D15" s="1702"/>
      <c r="E15" s="1694" t="s">
        <v>110</v>
      </c>
      <c r="F15" s="771" t="s">
        <v>708</v>
      </c>
      <c r="G15" s="1710" t="s">
        <v>556</v>
      </c>
      <c r="H15" s="621"/>
      <c r="I15" s="621"/>
      <c r="J15" s="353" t="s">
        <v>709</v>
      </c>
      <c r="K15" s="607" t="s">
        <v>634</v>
      </c>
      <c r="AF15" s="1695">
        <v>19</v>
      </c>
    </row>
    <row customHeight="1" ht="35.699999999999996">
      <c r="D16" s="1702"/>
      <c r="E16" s="1694" t="s">
        <v>111</v>
      </c>
      <c r="F16" s="771" t="s">
        <v>710</v>
      </c>
      <c r="G16" s="1710" t="s">
        <v>556</v>
      </c>
      <c r="H16" s="622">
        <f>SUM(H17,H20:H32)</f>
        <v>0</v>
      </c>
      <c r="I16" s="622">
        <f>SUM(I17,I20,I23,I26,I29:I32)</f>
        <v>0</v>
      </c>
      <c r="J16" s="353" t="s">
        <v>711</v>
      </c>
      <c r="K16" s="607" t="s">
        <v>634</v>
      </c>
      <c r="AF16" s="1695">
        <v>34</v>
      </c>
    </row>
    <row customHeight="1" ht="19.95">
      <c r="D17" s="1702"/>
      <c r="E17" s="1728" t="s">
        <v>712</v>
      </c>
      <c r="F17" s="1018" t="s">
        <v>713</v>
      </c>
      <c r="G17" s="1707" t="s">
        <v>556</v>
      </c>
      <c r="H17" s="621"/>
      <c r="I17" s="621"/>
      <c r="J17" s="353" t="s">
        <v>714</v>
      </c>
      <c r="K17" s="607"/>
      <c r="AF17" s="1695">
        <v>19</v>
      </c>
    </row>
    <row customHeight="1" ht="24">
      <c r="D18" s="1702"/>
      <c r="E18" s="1728" t="s">
        <v>715</v>
      </c>
      <c r="F18" s="1714" t="s">
        <v>716</v>
      </c>
      <c r="G18" s="1707" t="s">
        <v>556</v>
      </c>
      <c r="H18" s="621"/>
      <c r="I18" s="621"/>
      <c r="J18" s="353" t="s">
        <v>717</v>
      </c>
      <c r="K18" s="607"/>
      <c r="AF18" s="1695">
        <v>23</v>
      </c>
    </row>
    <row customHeight="1" ht="35.699999999999996">
      <c r="D19" s="1702"/>
      <c r="E19" s="1728" t="s">
        <v>718</v>
      </c>
      <c r="F19" s="1714" t="s">
        <v>719</v>
      </c>
      <c r="G19" s="1707" t="s">
        <v>556</v>
      </c>
      <c r="H19" s="621"/>
      <c r="I19" s="621"/>
      <c r="J19" s="353"/>
      <c r="K19" s="607"/>
      <c r="AF19" s="1695">
        <v>34</v>
      </c>
    </row>
    <row customHeight="1" ht="19.95">
      <c r="D20" s="1702"/>
      <c r="E20" s="1728" t="s">
        <v>311</v>
      </c>
      <c r="F20" s="1018" t="s">
        <v>720</v>
      </c>
      <c r="G20" s="1707" t="s">
        <v>556</v>
      </c>
      <c r="H20" s="621"/>
      <c r="I20" s="621"/>
      <c r="J20" s="353" t="s">
        <v>721</v>
      </c>
      <c r="K20" s="607"/>
      <c r="AF20" s="1695">
        <v>19</v>
      </c>
    </row>
    <row customHeight="1" ht="19.95">
      <c r="D21" s="1702"/>
      <c r="E21" s="1728" t="s">
        <v>722</v>
      </c>
      <c r="F21" s="1714" t="s">
        <v>723</v>
      </c>
      <c r="G21" s="1707" t="s">
        <v>556</v>
      </c>
      <c r="H21" s="621"/>
      <c r="I21" s="621"/>
      <c r="J21" s="353"/>
      <c r="K21" s="607"/>
      <c r="AF21" s="1695">
        <v>19</v>
      </c>
    </row>
    <row customHeight="1" ht="19.95">
      <c r="D22" s="1702"/>
      <c r="E22" s="1728" t="s">
        <v>724</v>
      </c>
      <c r="F22" s="1714" t="s">
        <v>725</v>
      </c>
      <c r="G22" s="1707" t="s">
        <v>556</v>
      </c>
      <c r="H22" s="621"/>
      <c r="I22" s="621"/>
      <c r="J22" s="353"/>
      <c r="K22" s="607"/>
      <c r="AF22" s="1695">
        <v>19</v>
      </c>
    </row>
    <row customHeight="1" ht="24">
      <c r="D23" s="1702"/>
      <c r="E23" s="1728" t="s">
        <v>314</v>
      </c>
      <c r="F23" s="1018" t="s">
        <v>726</v>
      </c>
      <c r="G23" s="1707" t="s">
        <v>556</v>
      </c>
      <c r="H23" s="621"/>
      <c r="I23" s="621"/>
      <c r="J23" s="353" t="s">
        <v>727</v>
      </c>
      <c r="K23" s="607"/>
      <c r="AF23" s="1695">
        <v>23</v>
      </c>
    </row>
    <row customHeight="1" ht="19.95">
      <c r="D24" s="1702"/>
      <c r="E24" s="1728" t="s">
        <v>728</v>
      </c>
      <c r="F24" s="1714" t="s">
        <v>729</v>
      </c>
      <c r="G24" s="1707" t="s">
        <v>556</v>
      </c>
      <c r="H24" s="621"/>
      <c r="I24" s="621"/>
      <c r="J24" s="353"/>
      <c r="K24" s="607"/>
      <c r="AF24" s="1695">
        <v>19</v>
      </c>
    </row>
    <row customHeight="1" ht="35.699999999999996">
      <c r="D25" s="1702"/>
      <c r="E25" s="1728" t="s">
        <v>730</v>
      </c>
      <c r="F25" s="1714" t="s">
        <v>731</v>
      </c>
      <c r="G25" s="1707" t="s">
        <v>556</v>
      </c>
      <c r="H25" s="621"/>
      <c r="I25" s="621"/>
      <c r="J25" s="353"/>
      <c r="K25" s="607"/>
      <c r="AF25" s="1695">
        <v>34</v>
      </c>
    </row>
    <row customHeight="1" ht="24">
      <c r="D26" s="1702"/>
      <c r="E26" s="1728" t="s">
        <v>732</v>
      </c>
      <c r="F26" s="1018" t="s">
        <v>733</v>
      </c>
      <c r="G26" s="1707" t="s">
        <v>556</v>
      </c>
      <c r="H26" s="621"/>
      <c r="I26" s="621"/>
      <c r="J26" s="353" t="s">
        <v>734</v>
      </c>
      <c r="K26" s="607"/>
      <c r="AF26" s="1695">
        <v>23</v>
      </c>
    </row>
    <row customHeight="1" ht="19.95">
      <c r="D27" s="1702"/>
      <c r="E27" s="1739" t="s">
        <v>735</v>
      </c>
      <c r="F27" s="1714" t="s">
        <v>736</v>
      </c>
      <c r="G27" s="1718" t="s">
        <v>556</v>
      </c>
      <c r="H27" s="1740"/>
      <c r="I27" s="1740"/>
      <c r="J27" s="353"/>
      <c r="K27" s="607"/>
      <c r="AF27" s="1695">
        <v>19</v>
      </c>
    </row>
    <row customHeight="1" ht="19.95">
      <c r="D28" s="1702"/>
      <c r="E28" s="1739" t="s">
        <v>737</v>
      </c>
      <c r="F28" s="1714" t="s">
        <v>738</v>
      </c>
      <c r="G28" s="1718" t="s">
        <v>556</v>
      </c>
      <c r="H28" s="1740"/>
      <c r="I28" s="1740"/>
      <c r="J28" s="353"/>
      <c r="K28" s="607"/>
      <c r="AF28" s="1695">
        <v>19</v>
      </c>
    </row>
    <row customHeight="1" ht="19.95">
      <c r="D29" s="1702"/>
      <c r="E29" s="1739" t="s">
        <v>739</v>
      </c>
      <c r="F29" s="1018" t="s">
        <v>740</v>
      </c>
      <c r="G29" s="1718" t="s">
        <v>556</v>
      </c>
      <c r="H29" s="1740"/>
      <c r="I29" s="1740"/>
      <c r="J29" s="353"/>
      <c r="K29" s="607"/>
      <c r="AF29" s="1695">
        <v>19</v>
      </c>
    </row>
    <row customHeight="1" ht="19.95">
      <c r="D30" s="1702"/>
      <c r="E30" s="1739" t="s">
        <v>741</v>
      </c>
      <c r="F30" s="1018" t="s">
        <v>742</v>
      </c>
      <c r="G30" s="1718" t="s">
        <v>556</v>
      </c>
      <c r="H30" s="1740"/>
      <c r="I30" s="1740"/>
      <c r="J30" s="353"/>
      <c r="K30" s="607"/>
      <c r="AF30" s="1695">
        <v>19</v>
      </c>
    </row>
    <row customHeight="1" ht="19.95">
      <c r="D31" s="1702"/>
      <c r="E31" s="1739" t="s">
        <v>743</v>
      </c>
      <c r="F31" s="1018" t="s">
        <v>744</v>
      </c>
      <c r="G31" s="1718" t="s">
        <v>556</v>
      </c>
      <c r="H31" s="1740"/>
      <c r="I31" s="1740"/>
      <c r="J31" s="353"/>
      <c r="K31" s="607"/>
      <c r="AF31" s="1695">
        <v>19</v>
      </c>
    </row>
    <row s="5416" customFormat="1" customHeight="1" ht="35.699999999999996">
      <c r="A32" s="1051"/>
      <c r="C32" s="1700"/>
      <c r="D32" s="1702"/>
      <c r="E32" s="1739" t="s">
        <v>745</v>
      </c>
      <c r="F32" s="1018" t="s">
        <v>746</v>
      </c>
      <c r="G32" s="1708" t="s">
        <v>556</v>
      </c>
      <c r="H32" s="643">
        <f>SUM(H33:H34)</f>
        <v>0</v>
      </c>
      <c r="I32" s="643">
        <f>SUM(I33:I34)</f>
        <v>0</v>
      </c>
      <c r="J32" s="353" t="s">
        <v>747</v>
      </c>
      <c r="K32" s="607"/>
      <c r="L32" s="1700"/>
      <c r="M32" s="1700"/>
      <c r="R32" s="1700"/>
      <c r="U32" s="608"/>
      <c r="AA32" s="1696"/>
      <c r="AB32" s="1696"/>
      <c r="AC32" s="1696"/>
      <c r="AD32" s="1696"/>
      <c r="AE32" s="1696"/>
      <c r="AF32" s="1224">
        <v>34</v>
      </c>
    </row>
    <row s="4976" customFormat="1" customHeight="1" ht="1.05">
      <c r="A33" s="1231"/>
      <c r="D33" s="612"/>
      <c r="E33" s="866" t="str">
        <f>E32&amp;".0"</f>
        <v>2.8.0</v>
      </c>
      <c r="F33" s="1055"/>
      <c r="G33" s="615"/>
      <c r="H33" s="1056"/>
      <c r="I33" s="1056"/>
      <c r="J33" s="1057"/>
      <c r="AF33" s="1700">
        <v>1</v>
      </c>
    </row>
    <row s="5416" customFormat="1" customHeight="1" ht="19.95">
      <c r="A34" s="1051"/>
      <c r="C34" s="1700"/>
      <c r="D34" s="1697"/>
      <c r="E34" s="634"/>
      <c r="F34" s="1730" t="s">
        <v>581</v>
      </c>
      <c r="G34" s="636"/>
      <c r="H34" s="637"/>
      <c r="I34" s="637"/>
      <c r="J34" s="365" t="s">
        <v>748</v>
      </c>
      <c r="K34" s="607"/>
      <c r="L34" s="1700"/>
      <c r="M34" s="1700"/>
      <c r="R34" s="1700"/>
      <c r="U34" s="608"/>
      <c r="AA34" s="1696"/>
      <c r="AB34" s="1696"/>
      <c r="AC34" s="1696"/>
      <c r="AD34" s="1696"/>
      <c r="AE34" s="1696"/>
      <c r="AF34" s="1224">
        <v>19</v>
      </c>
    </row>
    <row customHeight="1" ht="60">
      <c r="D35" s="1702"/>
      <c r="E35" s="1739" t="s">
        <v>749</v>
      </c>
      <c r="F35" s="1018" t="s">
        <v>750</v>
      </c>
      <c r="G35" s="1718" t="s">
        <v>556</v>
      </c>
      <c r="H35" s="1740"/>
      <c r="I35" s="1740"/>
      <c r="J35" s="353" t="s">
        <v>751</v>
      </c>
      <c r="K35" s="607"/>
      <c r="AF35" s="1695">
        <v>57</v>
      </c>
    </row>
    <row s="5416" customFormat="1" customHeight="1" ht="24">
      <c r="A36" s="1053" t="s">
        <v>582</v>
      </c>
      <c r="C36" s="1700"/>
      <c r="D36" s="1702"/>
      <c r="E36" s="1728" t="s">
        <v>91</v>
      </c>
      <c r="F36" s="771" t="s">
        <v>752</v>
      </c>
      <c r="G36" s="1707" t="s">
        <v>556</v>
      </c>
      <c r="H36" s="621"/>
      <c r="I36" s="621"/>
      <c r="J36" s="353" t="s">
        <v>753</v>
      </c>
      <c r="K36" s="607"/>
      <c r="L36" s="1700"/>
      <c r="M36" s="1700"/>
      <c r="R36" s="1700"/>
      <c r="U36" s="608"/>
      <c r="AA36" s="1696"/>
      <c r="AB36" s="1696"/>
      <c r="AC36" s="1696"/>
      <c r="AD36" s="1696"/>
      <c r="AE36" s="1696"/>
      <c r="AF36" s="1224">
        <v>23</v>
      </c>
    </row>
    <row s="5416" customFormat="1" customHeight="1" ht="35.699999999999996">
      <c r="A37" s="1053"/>
      <c r="C37" s="1700"/>
      <c r="D37" s="1702"/>
      <c r="E37" s="1728" t="s">
        <v>328</v>
      </c>
      <c r="F37" s="1018" t="s">
        <v>754</v>
      </c>
      <c r="G37" s="1718"/>
      <c r="H37" s="621"/>
      <c r="I37" s="621"/>
      <c r="J37" s="353"/>
      <c r="K37" s="607"/>
      <c r="L37" s="1700"/>
      <c r="M37" s="1700"/>
      <c r="R37" s="1700"/>
      <c r="U37" s="608"/>
      <c r="AA37" s="1696"/>
      <c r="AB37" s="1696"/>
      <c r="AC37" s="1696"/>
      <c r="AD37" s="1696"/>
      <c r="AE37" s="1696"/>
      <c r="AF37" s="1224">
        <v>34</v>
      </c>
    </row>
    <row s="5416" customFormat="1" customHeight="1" ht="19.95">
      <c r="A38" s="1051"/>
      <c r="C38" s="1700"/>
      <c r="D38" s="639"/>
      <c r="E38" s="1728" t="s">
        <v>92</v>
      </c>
      <c r="F38" s="771" t="s">
        <v>755</v>
      </c>
      <c r="G38" s="1707" t="s">
        <v>556</v>
      </c>
      <c r="H38" s="621"/>
      <c r="I38" s="621"/>
      <c r="J38" s="353" t="s">
        <v>756</v>
      </c>
      <c r="K38" s="607"/>
      <c r="L38" s="1700"/>
      <c r="M38" s="1700"/>
      <c r="R38" s="1700"/>
      <c r="U38" s="608"/>
      <c r="AA38" s="1696"/>
      <c r="AB38" s="1696"/>
      <c r="AC38" s="1696"/>
      <c r="AD38" s="1696"/>
      <c r="AE38" s="1696"/>
      <c r="AF38" s="1224">
        <v>19</v>
      </c>
    </row>
    <row s="5416" customFormat="1" customHeight="1" ht="24">
      <c r="A39" s="1051"/>
      <c r="C39" s="1700"/>
      <c r="D39" s="639"/>
      <c r="E39" s="1728" t="s">
        <v>757</v>
      </c>
      <c r="F39" s="1018" t="s">
        <v>758</v>
      </c>
      <c r="G39" s="1718" t="s">
        <v>556</v>
      </c>
      <c r="H39" s="621"/>
      <c r="I39" s="621"/>
      <c r="J39" s="353" t="s">
        <v>759</v>
      </c>
      <c r="K39" s="607"/>
      <c r="L39" s="1700"/>
      <c r="M39" s="1700"/>
      <c r="R39" s="1700"/>
      <c r="U39" s="608"/>
      <c r="AA39" s="1696"/>
      <c r="AB39" s="1696"/>
      <c r="AC39" s="1696"/>
      <c r="AD39" s="1696"/>
      <c r="AE39" s="1696"/>
      <c r="AF39" s="1224">
        <v>23</v>
      </c>
    </row>
    <row s="5416" customFormat="1" customHeight="1" ht="24">
      <c r="A40" s="1051"/>
      <c r="C40" s="1700"/>
      <c r="D40" s="1702"/>
      <c r="E40" s="1728" t="s">
        <v>760</v>
      </c>
      <c r="F40" s="1714" t="s">
        <v>761</v>
      </c>
      <c r="G40" s="1707" t="s">
        <v>556</v>
      </c>
      <c r="H40" s="621"/>
      <c r="I40" s="621"/>
      <c r="J40" s="353" t="s">
        <v>762</v>
      </c>
      <c r="K40" s="607"/>
      <c r="L40" s="1700"/>
      <c r="M40" s="1700"/>
      <c r="R40" s="1700"/>
      <c r="U40" s="608"/>
      <c r="AA40" s="1696"/>
      <c r="AB40" s="1696"/>
      <c r="AC40" s="1696"/>
      <c r="AD40" s="1696"/>
      <c r="AE40" s="1696"/>
      <c r="AF40" s="1224">
        <v>23</v>
      </c>
    </row>
    <row s="5416" customFormat="1" customHeight="1" ht="24">
      <c r="A41" s="1051"/>
      <c r="C41" s="1700"/>
      <c r="D41" s="1702"/>
      <c r="E41" s="1728" t="s">
        <v>763</v>
      </c>
      <c r="F41" s="1714" t="s">
        <v>764</v>
      </c>
      <c r="G41" s="1707" t="s">
        <v>556</v>
      </c>
      <c r="H41" s="621"/>
      <c r="I41" s="621"/>
      <c r="J41" s="353" t="s">
        <v>765</v>
      </c>
      <c r="K41" s="607"/>
      <c r="L41" s="1700"/>
      <c r="M41" s="1700"/>
      <c r="R41" s="1700"/>
      <c r="U41" s="608"/>
      <c r="AA41" s="1696"/>
      <c r="AB41" s="1696"/>
      <c r="AC41" s="1696"/>
      <c r="AD41" s="1696"/>
      <c r="AE41" s="1696"/>
      <c r="AF41" s="1224">
        <v>23</v>
      </c>
    </row>
    <row s="5416" customFormat="1" customHeight="1" ht="24">
      <c r="A42" s="1051"/>
      <c r="C42" s="1700"/>
      <c r="D42" s="1702"/>
      <c r="E42" s="1728" t="s">
        <v>766</v>
      </c>
      <c r="F42" s="1714" t="s">
        <v>767</v>
      </c>
      <c r="G42" s="1707" t="s">
        <v>556</v>
      </c>
      <c r="H42" s="621"/>
      <c r="I42" s="621"/>
      <c r="J42" s="353" t="s">
        <v>768</v>
      </c>
      <c r="K42" s="607"/>
      <c r="L42" s="1700"/>
      <c r="M42" s="1700"/>
      <c r="R42" s="1700"/>
      <c r="U42" s="608"/>
      <c r="AA42" s="1696"/>
      <c r="AB42" s="1696"/>
      <c r="AC42" s="1696"/>
      <c r="AD42" s="1696"/>
      <c r="AE42" s="1696"/>
      <c r="AF42" s="1224">
        <v>23</v>
      </c>
    </row>
    <row s="5416" customFormat="1" customHeight="1" ht="35.699999999999996">
      <c r="A43" s="1051"/>
      <c r="C43" s="1700" t="s">
        <v>592</v>
      </c>
      <c r="D43" s="1702"/>
      <c r="E43" s="1728" t="s">
        <v>112</v>
      </c>
      <c r="F43" s="771" t="s">
        <v>633</v>
      </c>
      <c r="G43" s="1710" t="s">
        <v>769</v>
      </c>
      <c r="H43" s="465"/>
      <c r="I43" s="465"/>
      <c r="J43" s="353" t="s">
        <v>770</v>
      </c>
      <c r="K43" s="607"/>
      <c r="L43" s="1700"/>
      <c r="M43" s="1700"/>
      <c r="R43" s="1700"/>
      <c r="U43" s="608"/>
      <c r="AA43" s="1696"/>
      <c r="AB43" s="1696"/>
      <c r="AC43" s="1696"/>
      <c r="AD43" s="1696"/>
      <c r="AE43" s="1696"/>
      <c r="AF43" s="1224">
        <v>34</v>
      </c>
    </row>
    <row s="5416" customFormat="1" customHeight="1" ht="35.699999999999996">
      <c r="A44" s="1051"/>
      <c r="C44" s="1700"/>
      <c r="D44" s="1702"/>
      <c r="E44" s="1728" t="s">
        <v>93</v>
      </c>
      <c r="F44" s="771" t="s">
        <v>771</v>
      </c>
      <c r="G44" s="1707" t="s">
        <v>772</v>
      </c>
      <c r="H44" s="609"/>
      <c r="I44" s="609"/>
      <c r="J44" s="353" t="s">
        <v>773</v>
      </c>
      <c r="K44" s="607"/>
      <c r="L44" s="1700"/>
      <c r="M44" s="1700"/>
      <c r="R44" s="1700"/>
      <c r="U44" s="608"/>
      <c r="AA44" s="1696"/>
      <c r="AB44" s="1696"/>
      <c r="AC44" s="1696"/>
      <c r="AD44" s="1696"/>
      <c r="AE44" s="1696"/>
      <c r="AF44" s="1224">
        <v>34</v>
      </c>
    </row>
    <row s="5416" customFormat="1" customHeight="1" ht="24">
      <c r="A45" s="1051"/>
      <c r="C45" s="1700"/>
      <c r="D45" s="1702"/>
      <c r="E45" s="1728" t="s">
        <v>94</v>
      </c>
      <c r="F45" s="771" t="s">
        <v>774</v>
      </c>
      <c r="G45" s="1718" t="s">
        <v>775</v>
      </c>
      <c r="H45" s="609"/>
      <c r="I45" s="609"/>
      <c r="J45" s="353" t="s">
        <v>776</v>
      </c>
      <c r="K45" s="607"/>
      <c r="L45" s="1700"/>
      <c r="M45" s="1700"/>
      <c r="R45" s="1700"/>
      <c r="U45" s="608"/>
      <c r="AA45" s="1696"/>
      <c r="AB45" s="1696"/>
      <c r="AC45" s="1696"/>
      <c r="AD45" s="1696"/>
      <c r="AE45" s="1696"/>
      <c r="AF45" s="1224">
        <v>23</v>
      </c>
    </row>
    <row s="5416" customFormat="1" customHeight="1" ht="19.95">
      <c r="A46" s="1051"/>
      <c r="C46" s="1700"/>
      <c r="D46" s="1702"/>
      <c r="E46" s="1728" t="s">
        <v>113</v>
      </c>
      <c r="F46" s="771" t="s">
        <v>777</v>
      </c>
      <c r="G46" s="1707" t="s">
        <v>594</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710"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710"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710"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710"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710"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710"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710"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710"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710"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710"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710"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710"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710"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710"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710"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710"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710"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710"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710"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710"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710"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710"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710"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710"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710"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710"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710"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710"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710"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710"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710"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710"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710"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710"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710"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710"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710"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710"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710"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710"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710"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710"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710"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710"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710"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710"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710"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710"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710"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710"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710"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710"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710"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710"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710"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710"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710"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710"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710"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710"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710"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710"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710"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710"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710"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710"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710"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710"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710"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710"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710"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710"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710"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710"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710"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710"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710"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710"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710"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710"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710"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710"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710"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710"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710"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710"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710"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710"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710"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710"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710"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710"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710"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710"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710"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710"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710"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710"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710"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710"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710"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710"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710"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710"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710"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710"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710"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710"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710"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710"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710"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710"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710"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710"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710"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710"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710"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710"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710"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710"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710"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710"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710"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710"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710"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710"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710"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710"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710"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710"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710"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710"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710"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710"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710"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710"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710"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710"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710"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710"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710"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710"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710"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710"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710"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710"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710"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710"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710"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710"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710"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710"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710"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710"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710"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83</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0167D-3D09-3211-30FC-0.877B017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851" width="10.7109375" hidden="1" customWidth="1"/>
    <col min="2" max="2" style="5416" width="16.8515625" hidden="1" customWidth="1"/>
    <col min="3" max="3" style="4976" width="5.57421875" hidden="1" customWidth="1"/>
    <col min="4" max="4" style="5468" width="3.00390625" customWidth="1"/>
    <col min="5" max="5" style="5468" width="7.00390625" customWidth="1"/>
    <col min="6" max="6" style="5468" width="54.00390625" customWidth="1"/>
    <col min="7" max="7" style="5468" width="10.00390625" customWidth="1"/>
    <col min="8" max="8" style="5468" width="40.7109375" hidden="1" customWidth="1"/>
    <col min="9" max="9" style="5468" width="40.00390625" customWidth="1"/>
    <col min="10" max="10" style="5468" width="102.00390625" customWidth="1"/>
    <col min="11" max="11" style="5416" width="9.00390625" customWidth="1"/>
    <col min="12" max="12" style="4976" width="5.00390625" customWidth="1"/>
    <col min="13" max="13" style="4976" width="3.00390625" customWidth="1"/>
    <col min="14" max="17" style="5416" width="3.00390625" customWidth="1"/>
    <col min="18" max="18" style="4976" width="10.00390625" customWidth="1"/>
    <col min="19" max="19" style="5416" width="34.00390625" customWidth="1"/>
    <col min="20" max="20" style="5416" width="9.00390625" customWidth="1"/>
    <col min="21" max="21" style="4921" width="8.00390625" customWidth="1"/>
    <col min="22" max="26" style="5416" width="8.00390625" customWidth="1"/>
    <col min="27" max="31" style="5712" width="8.00390625" customWidth="1"/>
    <col min="32" max="32" style="5468" width="9.140625" hidden="1"/>
  </cols>
  <sheetData>
    <row s="5416" customFormat="1" customHeight="1" ht="22.5" hidden="1">
      <c r="A1" s="1051"/>
      <c r="C1" s="1700"/>
      <c r="D1" s="601"/>
      <c r="H1" s="1224">
        <v>4</v>
      </c>
      <c r="I1" s="1224">
        <v>4</v>
      </c>
      <c r="L1" s="1700"/>
      <c r="M1" s="1700"/>
      <c r="R1" s="1700"/>
      <c r="AF1" s="1224" t="s">
        <v>14</v>
      </c>
    </row>
    <row s="5416" customFormat="1" customHeight="1" ht="22.5" hidden="1">
      <c r="A2" s="1051"/>
      <c r="C2" s="1700"/>
      <c r="D2" s="602"/>
      <c r="E2" s="1722"/>
      <c r="F2" s="604"/>
      <c r="G2" s="1721" t="s">
        <v>556</v>
      </c>
      <c r="H2" s="605"/>
      <c r="I2" s="605"/>
      <c r="J2" s="606" t="s">
        <v>559</v>
      </c>
      <c r="K2" s="607"/>
      <c r="L2" s="1700"/>
      <c r="M2" s="1700"/>
      <c r="R2" s="1700"/>
      <c r="U2" s="608"/>
      <c r="AA2" s="1696"/>
      <c r="AB2" s="1696"/>
      <c r="AC2" s="1696"/>
      <c r="AD2" s="1696"/>
      <c r="AE2" s="1696"/>
      <c r="AF2" s="1224">
        <v>0</v>
      </c>
    </row>
    <row customHeight="1" ht="11.25" hidden="1">
      <c r="AF3" s="1695">
        <v>0</v>
      </c>
    </row>
    <row s="571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778</v>
      </c>
      <c r="F6" s="2312"/>
      <c r="G6" s="2312"/>
      <c r="H6" s="2312"/>
      <c r="I6" s="2312"/>
      <c r="J6" s="620"/>
      <c r="AF6" s="1695">
        <v>32</v>
      </c>
    </row>
    <row customHeight="1" ht="25.2">
      <c r="E7" s="2313" t="str">
        <f>IF(org=0,"Не определено",org)</f>
        <v>Нарьян-Марское МУ ПОКиТС</v>
      </c>
      <c r="F7" s="2313"/>
      <c r="G7" s="2313"/>
      <c r="H7" s="2313"/>
      <c r="I7" s="2313"/>
      <c r="AF7" s="1695">
        <v>24</v>
      </c>
    </row>
    <row customHeight="1" ht="11.549999999999999">
      <c r="E8" s="1199"/>
      <c r="F8" s="1199"/>
      <c r="G8" s="1199"/>
      <c r="H8" s="1199"/>
      <c r="I8" s="1199"/>
      <c r="AF8" s="1695">
        <v>11</v>
      </c>
    </row>
    <row s="4976" customFormat="1" customHeight="1" ht="1.05">
      <c r="A9" s="1231"/>
      <c r="D9" s="1706"/>
      <c r="H9" s="953"/>
      <c r="I9" s="953" t="s">
        <v>118</v>
      </c>
      <c r="AF9" s="1700">
        <v>1</v>
      </c>
    </row>
    <row customHeight="1" ht="11.549999999999999">
      <c r="E10" s="775"/>
      <c r="F10" s="2431" t="s">
        <v>106</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568</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304</v>
      </c>
      <c r="F13" s="2434"/>
      <c r="G13" s="2434"/>
      <c r="H13" s="1720"/>
      <c r="I13" s="1720"/>
      <c r="J13" s="2191"/>
      <c r="AF13" s="1695">
        <v>11</v>
      </c>
    </row>
    <row customHeight="1" ht="24">
      <c r="E14" s="1721" t="s">
        <v>89</v>
      </c>
      <c r="F14" s="1724" t="s">
        <v>306</v>
      </c>
      <c r="G14" s="1724" t="s">
        <v>570</v>
      </c>
      <c r="H14" s="1724" t="s">
        <v>307</v>
      </c>
      <c r="I14" s="1724" t="s">
        <v>307</v>
      </c>
      <c r="J14" s="2191"/>
      <c r="AF14" s="1695">
        <v>23</v>
      </c>
    </row>
    <row customHeight="1" ht="19.95">
      <c r="D15" s="1702"/>
      <c r="E15" s="1694" t="s">
        <v>110</v>
      </c>
      <c r="F15" s="771" t="s">
        <v>779</v>
      </c>
      <c r="G15" s="1721" t="s">
        <v>556</v>
      </c>
      <c r="H15" s="621"/>
      <c r="I15" s="621"/>
      <c r="J15" s="353" t="s">
        <v>780</v>
      </c>
      <c r="K15" s="607" t="s">
        <v>634</v>
      </c>
      <c r="AF15" s="1695">
        <v>19</v>
      </c>
    </row>
    <row customHeight="1" ht="24">
      <c r="D16" s="1702"/>
      <c r="E16" s="1694" t="s">
        <v>111</v>
      </c>
      <c r="F16" s="1729" t="s">
        <v>781</v>
      </c>
      <c r="G16" s="1721" t="s">
        <v>556</v>
      </c>
      <c r="H16" s="622">
        <f>SUM(H17,H20:H27)</f>
        <v>0</v>
      </c>
      <c r="I16" s="622">
        <f>SUM(I17,I20:I27)</f>
        <v>0</v>
      </c>
      <c r="J16" s="353" t="s">
        <v>782</v>
      </c>
      <c r="K16" s="607" t="s">
        <v>634</v>
      </c>
      <c r="AF16" s="1695">
        <v>23</v>
      </c>
    </row>
    <row customHeight="1" ht="35.699999999999996">
      <c r="D17" s="1702"/>
      <c r="E17" s="1728" t="s">
        <v>712</v>
      </c>
      <c r="F17" s="1731" t="s">
        <v>783</v>
      </c>
      <c r="G17" s="1718" t="s">
        <v>556</v>
      </c>
      <c r="H17" s="621"/>
      <c r="I17" s="621"/>
      <c r="J17" s="353" t="s">
        <v>784</v>
      </c>
      <c r="K17" s="607"/>
      <c r="AF17" s="1695">
        <v>34</v>
      </c>
    </row>
    <row customHeight="1" ht="19.95">
      <c r="D18" s="1702"/>
      <c r="E18" s="1728" t="s">
        <v>715</v>
      </c>
      <c r="F18" s="1732" t="s">
        <v>785</v>
      </c>
      <c r="G18" s="1718" t="s">
        <v>556</v>
      </c>
      <c r="H18" s="621"/>
      <c r="I18" s="621"/>
      <c r="J18" s="353"/>
      <c r="K18" s="607"/>
      <c r="AF18" s="1695">
        <v>19</v>
      </c>
    </row>
    <row customHeight="1" ht="24">
      <c r="D19" s="1702"/>
      <c r="E19" s="1728" t="s">
        <v>718</v>
      </c>
      <c r="F19" s="1732" t="s">
        <v>786</v>
      </c>
      <c r="G19" s="1718" t="s">
        <v>556</v>
      </c>
      <c r="H19" s="621"/>
      <c r="I19" s="621"/>
      <c r="J19" s="353"/>
      <c r="K19" s="607"/>
      <c r="AF19" s="1695">
        <v>23</v>
      </c>
    </row>
    <row customHeight="1" ht="35.699999999999996">
      <c r="D20" s="1702"/>
      <c r="E20" s="1728" t="s">
        <v>311</v>
      </c>
      <c r="F20" s="1731" t="s">
        <v>787</v>
      </c>
      <c r="G20" s="1718" t="s">
        <v>556</v>
      </c>
      <c r="H20" s="621"/>
      <c r="I20" s="621"/>
      <c r="J20" s="353"/>
      <c r="K20" s="607"/>
      <c r="AF20" s="1695">
        <v>34</v>
      </c>
    </row>
    <row customHeight="1" ht="48.29999999999999">
      <c r="D21" s="1702"/>
      <c r="E21" s="1728" t="s">
        <v>314</v>
      </c>
      <c r="F21" s="1731" t="s">
        <v>788</v>
      </c>
      <c r="G21" s="1718" t="s">
        <v>556</v>
      </c>
      <c r="H21" s="621"/>
      <c r="I21" s="621"/>
      <c r="J21" s="353"/>
      <c r="K21" s="607"/>
      <c r="AF21" s="1695">
        <v>46</v>
      </c>
    </row>
    <row customHeight="1" ht="60">
      <c r="D22" s="1702"/>
      <c r="E22" s="1728" t="s">
        <v>732</v>
      </c>
      <c r="F22" s="1731" t="s">
        <v>789</v>
      </c>
      <c r="G22" s="1718" t="s">
        <v>556</v>
      </c>
      <c r="H22" s="621"/>
      <c r="I22" s="621"/>
      <c r="J22" s="353"/>
      <c r="K22" s="607"/>
      <c r="AF22" s="1695">
        <v>57</v>
      </c>
    </row>
    <row customHeight="1" ht="35.699999999999996">
      <c r="D23" s="1702"/>
      <c r="E23" s="1728" t="s">
        <v>739</v>
      </c>
      <c r="F23" s="1731" t="s">
        <v>790</v>
      </c>
      <c r="G23" s="1718" t="s">
        <v>556</v>
      </c>
      <c r="H23" s="621"/>
      <c r="I23" s="621"/>
      <c r="J23" s="353"/>
      <c r="K23" s="607"/>
      <c r="AF23" s="1695">
        <v>34</v>
      </c>
    </row>
    <row customHeight="1" ht="35.699999999999996">
      <c r="D24" s="1702"/>
      <c r="E24" s="1728" t="s">
        <v>741</v>
      </c>
      <c r="F24" s="1731" t="s">
        <v>791</v>
      </c>
      <c r="G24" s="1718" t="s">
        <v>556</v>
      </c>
      <c r="H24" s="621"/>
      <c r="I24" s="621"/>
      <c r="J24" s="353"/>
      <c r="K24" s="607"/>
      <c r="AF24" s="1695">
        <v>34</v>
      </c>
    </row>
    <row customHeight="1" ht="24">
      <c r="D25" s="1702"/>
      <c r="E25" s="1728" t="s">
        <v>743</v>
      </c>
      <c r="F25" s="1731" t="s">
        <v>792</v>
      </c>
      <c r="G25" s="1718" t="s">
        <v>556</v>
      </c>
      <c r="H25" s="621"/>
      <c r="I25" s="621"/>
      <c r="J25" s="353"/>
      <c r="K25" s="607"/>
      <c r="AF25" s="1695">
        <v>23</v>
      </c>
    </row>
    <row customHeight="1" ht="76.5">
      <c r="D26" s="1702"/>
      <c r="E26" s="1728" t="s">
        <v>745</v>
      </c>
      <c r="F26" s="1731" t="s">
        <v>793</v>
      </c>
      <c r="G26" s="1718" t="s">
        <v>556</v>
      </c>
      <c r="H26" s="621"/>
      <c r="I26" s="621"/>
      <c r="J26" s="353"/>
      <c r="K26" s="607"/>
      <c r="AF26" s="1695">
        <v>73</v>
      </c>
    </row>
    <row s="5416" customFormat="1" customHeight="1" ht="35.699999999999996">
      <c r="A27" s="1051"/>
      <c r="C27" s="1700"/>
      <c r="D27" s="1702"/>
      <c r="E27" s="1693" t="s">
        <v>749</v>
      </c>
      <c r="F27" s="1692" t="s">
        <v>794</v>
      </c>
      <c r="G27" s="1719" t="s">
        <v>556</v>
      </c>
      <c r="H27" s="643">
        <f>SUM(H28:H29)</f>
        <v>0</v>
      </c>
      <c r="I27" s="643">
        <f>SUM(I28:I29)</f>
        <v>0</v>
      </c>
      <c r="J27" s="353" t="s">
        <v>747</v>
      </c>
      <c r="K27" s="607"/>
      <c r="L27" s="1700"/>
      <c r="M27" s="1700"/>
      <c r="R27" s="1700"/>
      <c r="U27" s="608"/>
      <c r="AA27" s="1696"/>
      <c r="AB27" s="1696"/>
      <c r="AC27" s="1696"/>
      <c r="AD27" s="1696"/>
      <c r="AE27" s="1696"/>
      <c r="AF27" s="1224">
        <v>34</v>
      </c>
    </row>
    <row s="4976" customFormat="1" customHeight="1" ht="1.05">
      <c r="A28" s="1231"/>
      <c r="D28" s="612"/>
      <c r="E28" s="866" t="str">
        <f>E27&amp;".0"</f>
        <v>2.9.0</v>
      </c>
      <c r="F28" s="1055"/>
      <c r="G28" s="615"/>
      <c r="H28" s="1056"/>
      <c r="I28" s="1056"/>
      <c r="J28" s="1057"/>
      <c r="AF28" s="1700">
        <v>1</v>
      </c>
    </row>
    <row s="5416" customFormat="1" customHeight="1" ht="19.95">
      <c r="A29" s="1051"/>
      <c r="C29" s="1700"/>
      <c r="D29" s="1697"/>
      <c r="E29" s="634"/>
      <c r="F29" s="1730" t="s">
        <v>581</v>
      </c>
      <c r="G29" s="636"/>
      <c r="H29" s="637"/>
      <c r="I29" s="637"/>
      <c r="J29" s="365" t="s">
        <v>748</v>
      </c>
      <c r="K29" s="607"/>
      <c r="L29" s="1700"/>
      <c r="M29" s="1700"/>
      <c r="R29" s="1700"/>
      <c r="U29" s="608"/>
      <c r="AA29" s="1696"/>
      <c r="AB29" s="1696"/>
      <c r="AC29" s="1696"/>
      <c r="AD29" s="1696"/>
      <c r="AE29" s="1696"/>
      <c r="AF29" s="1224">
        <v>19</v>
      </c>
    </row>
    <row s="5416" customFormat="1" customHeight="1" ht="24">
      <c r="A30" s="1051"/>
      <c r="C30" s="1700"/>
      <c r="D30" s="1702"/>
      <c r="E30" s="1728" t="s">
        <v>91</v>
      </c>
      <c r="F30" s="1725" t="s">
        <v>795</v>
      </c>
      <c r="G30" s="1718" t="s">
        <v>556</v>
      </c>
      <c r="H30" s="621"/>
      <c r="I30" s="621"/>
      <c r="J30" s="353"/>
      <c r="K30" s="607"/>
      <c r="L30" s="1700"/>
      <c r="M30" s="1700"/>
      <c r="R30" s="1700"/>
      <c r="U30" s="608"/>
      <c r="AA30" s="1696"/>
      <c r="AB30" s="1696"/>
      <c r="AC30" s="1696"/>
      <c r="AD30" s="1696"/>
      <c r="AE30" s="1696"/>
      <c r="AF30" s="1224">
        <v>23</v>
      </c>
    </row>
    <row s="5416" customFormat="1" customHeight="1" ht="35.699999999999996">
      <c r="A31" s="1051"/>
      <c r="C31" s="1700"/>
      <c r="D31" s="639"/>
      <c r="E31" s="1728" t="s">
        <v>92</v>
      </c>
      <c r="F31" s="1725" t="s">
        <v>796</v>
      </c>
      <c r="G31" s="1718" t="s">
        <v>556</v>
      </c>
      <c r="H31" s="621"/>
      <c r="I31" s="621"/>
      <c r="J31" s="353" t="s">
        <v>797</v>
      </c>
      <c r="K31" s="607"/>
      <c r="L31" s="1700"/>
      <c r="M31" s="1700"/>
      <c r="R31" s="1700"/>
      <c r="U31" s="608"/>
      <c r="AA31" s="1696"/>
      <c r="AB31" s="1696"/>
      <c r="AC31" s="1696"/>
      <c r="AD31" s="1696"/>
      <c r="AE31" s="1696"/>
      <c r="AF31" s="1224">
        <v>34</v>
      </c>
    </row>
    <row s="5416" customFormat="1" customHeight="1" ht="24">
      <c r="A32" s="1051"/>
      <c r="C32" s="1700"/>
      <c r="D32" s="1702"/>
      <c r="E32" s="1728" t="s">
        <v>757</v>
      </c>
      <c r="F32" s="754" t="s">
        <v>761</v>
      </c>
      <c r="G32" s="1718" t="s">
        <v>556</v>
      </c>
      <c r="H32" s="621"/>
      <c r="I32" s="621"/>
      <c r="J32" s="353" t="s">
        <v>798</v>
      </c>
      <c r="K32" s="607"/>
      <c r="L32" s="1700"/>
      <c r="M32" s="1700"/>
      <c r="R32" s="1700"/>
      <c r="U32" s="608"/>
      <c r="AA32" s="1696"/>
      <c r="AB32" s="1696"/>
      <c r="AC32" s="1696"/>
      <c r="AD32" s="1696"/>
      <c r="AE32" s="1696"/>
      <c r="AF32" s="1224">
        <v>23</v>
      </c>
    </row>
    <row s="5416" customFormat="1" customHeight="1" ht="24">
      <c r="A33" s="1051"/>
      <c r="C33" s="1700"/>
      <c r="D33" s="1702"/>
      <c r="E33" s="1728" t="s">
        <v>799</v>
      </c>
      <c r="F33" s="754" t="s">
        <v>800</v>
      </c>
      <c r="G33" s="1718" t="s">
        <v>556</v>
      </c>
      <c r="H33" s="621"/>
      <c r="I33" s="621"/>
      <c r="J33" s="353" t="s">
        <v>801</v>
      </c>
      <c r="K33" s="607"/>
      <c r="L33" s="1700"/>
      <c r="M33" s="1700"/>
      <c r="R33" s="1700"/>
      <c r="U33" s="608"/>
      <c r="AA33" s="1696"/>
      <c r="AB33" s="1696"/>
      <c r="AC33" s="1696"/>
      <c r="AD33" s="1696"/>
      <c r="AE33" s="1696"/>
      <c r="AF33" s="1224">
        <v>23</v>
      </c>
    </row>
    <row s="5416" customFormat="1" customHeight="1" ht="24">
      <c r="A34" s="1051"/>
      <c r="C34" s="1700"/>
      <c r="D34" s="1702"/>
      <c r="E34" s="1728" t="s">
        <v>802</v>
      </c>
      <c r="F34" s="754" t="s">
        <v>767</v>
      </c>
      <c r="G34" s="1718" t="s">
        <v>556</v>
      </c>
      <c r="H34" s="621"/>
      <c r="I34" s="621"/>
      <c r="J34" s="353" t="s">
        <v>803</v>
      </c>
      <c r="K34" s="607"/>
      <c r="L34" s="1700"/>
      <c r="M34" s="1700"/>
      <c r="R34" s="1700"/>
      <c r="U34" s="608"/>
      <c r="AA34" s="1696"/>
      <c r="AB34" s="1696"/>
      <c r="AC34" s="1696"/>
      <c r="AD34" s="1696"/>
      <c r="AE34" s="1696"/>
      <c r="AF34" s="1224">
        <v>23</v>
      </c>
    </row>
    <row s="5416" customFormat="1" customHeight="1" ht="35.699999999999996">
      <c r="A35" s="1051"/>
      <c r="C35" s="1700" t="s">
        <v>592</v>
      </c>
      <c r="D35" s="1702"/>
      <c r="E35" s="1728" t="s">
        <v>112</v>
      </c>
      <c r="F35" s="1725" t="s">
        <v>633</v>
      </c>
      <c r="G35" s="1721" t="s">
        <v>310</v>
      </c>
      <c r="H35" s="465"/>
      <c r="I35" s="465"/>
      <c r="J35" s="353" t="s">
        <v>804</v>
      </c>
      <c r="K35" s="607"/>
      <c r="L35" s="1700"/>
      <c r="M35" s="1700"/>
      <c r="R35" s="1700"/>
      <c r="U35" s="608"/>
      <c r="AA35" s="1696"/>
      <c r="AB35" s="1696"/>
      <c r="AC35" s="1696"/>
      <c r="AD35" s="1696"/>
      <c r="AE35" s="1696"/>
      <c r="AF35" s="1224">
        <v>34</v>
      </c>
    </row>
    <row s="5416" customFormat="1" customHeight="1" ht="35.699999999999996">
      <c r="A36" s="1051"/>
      <c r="C36" s="1700"/>
      <c r="D36" s="1702"/>
      <c r="E36" s="1728" t="s">
        <v>93</v>
      </c>
      <c r="F36" s="1725" t="s">
        <v>805</v>
      </c>
      <c r="G36" s="1718" t="s">
        <v>772</v>
      </c>
      <c r="H36" s="609"/>
      <c r="I36" s="609"/>
      <c r="J36" s="353" t="s">
        <v>773</v>
      </c>
      <c r="K36" s="607"/>
      <c r="L36" s="1700"/>
      <c r="M36" s="1700"/>
      <c r="R36" s="1700"/>
      <c r="U36" s="608"/>
      <c r="AA36" s="1696"/>
      <c r="AB36" s="1696"/>
      <c r="AC36" s="1696"/>
      <c r="AD36" s="1696"/>
      <c r="AE36" s="1696"/>
      <c r="AF36" s="1224">
        <v>34</v>
      </c>
    </row>
    <row s="5416" customFormat="1" customHeight="1" ht="24">
      <c r="A37" s="1051"/>
      <c r="C37" s="1700"/>
      <c r="D37" s="1702"/>
      <c r="E37" s="1728" t="s">
        <v>94</v>
      </c>
      <c r="F37" s="1725" t="s">
        <v>806</v>
      </c>
      <c r="G37" s="1718" t="s">
        <v>775</v>
      </c>
      <c r="H37" s="609"/>
      <c r="I37" s="609"/>
      <c r="J37" s="353" t="s">
        <v>776</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807</v>
      </c>
      <c r="F39" s="2349" t="s">
        <v>808</v>
      </c>
      <c r="G39" s="2349"/>
      <c r="H39" s="433"/>
      <c r="I39" s="433"/>
      <c r="J39" s="433"/>
      <c r="AF39" s="1695">
        <v>26</v>
      </c>
    </row>
    <row s="3710" customFormat="1" customHeight="1" ht="39.75">
      <c r="A40" s="1051"/>
      <c r="B40" s="1700"/>
      <c r="C40" s="1700"/>
      <c r="D40" s="415"/>
      <c r="F40" s="2349" t="s">
        <v>809</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710"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710"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710"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710"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710"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710"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710"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710"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710"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710"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710"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710"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710"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710"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710"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710"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710"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710"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710"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710"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710"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710"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710"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710"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710"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710"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710"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710"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710"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710"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710"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710"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710"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710"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710"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710"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710"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710"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710"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710"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710"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710"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710"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710"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710"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710"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710"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710"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710"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710"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710"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710"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710"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710"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710"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710"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710"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710"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710"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710"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710"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710"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710"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710"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710"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710"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710"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710"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710"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710"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710"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710"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710"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710"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710"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710"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710"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710"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710"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710"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710"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710"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710"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710"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710"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710"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710"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710"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710"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710"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710"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710"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710"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710"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710"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710"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710"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710"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710"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710"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710"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710"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710"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710"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710"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710"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710"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710"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710"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710"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710"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710"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710"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710"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710"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710"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710"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710"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710"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710"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710"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710"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710"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710"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710"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710"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710"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710"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710"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710"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710"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710"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710"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710"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710"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710"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710"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710"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710"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710"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710"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710"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710"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710"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710"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710"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710"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710"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710"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710"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710"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710"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710"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710"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710"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83</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4E781-C061-E6C4-5A7F-0.D492766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5211" width="9.140625" hidden="1" customWidth="1"/>
    <col min="2" max="2" style="4976" width="3.57421875" hidden="1" customWidth="1"/>
    <col min="3" max="3" style="5468" width="3.00390625" customWidth="1"/>
    <col min="4" max="4" style="5468" width="7.00390625" customWidth="1"/>
    <col min="5" max="5" style="5468" width="69.00390625" customWidth="1"/>
    <col min="6" max="6" style="5468" width="10.00390625" customWidth="1"/>
    <col min="7" max="8" style="5468" width="44.00390625" hidden="1" customWidth="1"/>
    <col min="9" max="9" style="5468" width="44.00390625" customWidth="1"/>
    <col min="10" max="10" style="5468" width="43.00390625" customWidth="1"/>
    <col min="11" max="11" style="5468" width="73.00390625" customWidth="1"/>
    <col min="12" max="12" style="5468" width="3.00390625" customWidth="1"/>
    <col min="13" max="23" style="5468" width="10.00390625" customWidth="1"/>
    <col min="24" max="24" style="5468" width="10.57421875" hidden="1"/>
  </cols>
  <sheetData>
    <row s="5416"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5468" customFormat="1" customHeight="1" ht="21">
      <c r="A4" s="1015"/>
      <c r="B4" s="575"/>
      <c r="D4" s="2278" t="str">
        <f>IF(org=0,"Не определено",org)</f>
        <v>Нарьян-Марское МУ ПОКиТС</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118</v>
      </c>
      <c r="J6" s="1086"/>
      <c r="X6" s="569">
        <v>1</v>
      </c>
    </row>
    <row customHeight="1" ht="11.549999999999999">
      <c r="D7" s="775"/>
      <c r="E7" s="2431" t="s">
        <v>106</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568</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569</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5468" customFormat="1" customHeight="1" ht="11.549999999999999">
      <c r="A10" s="1085"/>
      <c r="B10" s="575"/>
      <c r="D10" s="2165" t="s">
        <v>304</v>
      </c>
      <c r="E10" s="2166"/>
      <c r="F10" s="2166"/>
      <c r="G10" s="2166"/>
      <c r="H10" s="2166"/>
      <c r="I10" s="2166"/>
      <c r="J10" s="2167"/>
      <c r="K10" s="2263"/>
      <c r="L10" s="573"/>
      <c r="X10" s="822">
        <v>11</v>
      </c>
    </row>
    <row s="5468" customFormat="1" customHeight="1" ht="24">
      <c r="A11" s="2449"/>
      <c r="B11" s="2449"/>
      <c r="C11" s="721"/>
      <c r="D11" s="767" t="s">
        <v>89</v>
      </c>
      <c r="E11" s="769" t="s">
        <v>810</v>
      </c>
      <c r="F11" s="769" t="s">
        <v>570</v>
      </c>
      <c r="G11" s="529" t="s">
        <v>307</v>
      </c>
      <c r="H11" s="529" t="s">
        <v>394</v>
      </c>
      <c r="I11" s="871" t="s">
        <v>307</v>
      </c>
      <c r="J11" s="872" t="s">
        <v>394</v>
      </c>
      <c r="K11" s="2296"/>
      <c r="L11" s="722"/>
      <c r="X11" s="573">
        <v>23</v>
      </c>
    </row>
    <row s="4976" customFormat="1" customHeight="1" ht="10.5">
      <c r="A12" s="1016"/>
      <c r="D12" s="1089" t="s">
        <v>110</v>
      </c>
      <c r="E12" s="1089" t="s">
        <v>111</v>
      </c>
      <c r="F12" s="1089" t="s">
        <v>91</v>
      </c>
      <c r="G12" s="1090" t="str">
        <f>G1&amp;".1"</f>
        <v>4.1</v>
      </c>
      <c r="H12" s="1090" t="str">
        <f>G1&amp;".2"</f>
        <v>4.2</v>
      </c>
      <c r="I12" s="1090" t="str">
        <f>I1&amp;".1"</f>
        <v>4.1</v>
      </c>
      <c r="J12" s="1090" t="str">
        <f>I1&amp;".2"</f>
        <v>4.2</v>
      </c>
      <c r="K12" s="1090"/>
      <c r="X12" s="575">
        <v>10</v>
      </c>
    </row>
    <row customHeight="1" ht="22.5" hidden="1">
      <c r="A13" s="2456" t="s">
        <v>811</v>
      </c>
      <c r="D13" s="1017" t="s">
        <v>110</v>
      </c>
      <c r="E13" s="343" t="s">
        <v>812</v>
      </c>
      <c r="F13" s="724" t="s">
        <v>813</v>
      </c>
      <c r="G13" s="621"/>
      <c r="H13" s="725"/>
      <c r="I13" s="621"/>
      <c r="J13" s="725"/>
      <c r="K13" s="353" t="s">
        <v>814</v>
      </c>
      <c r="L13" s="784"/>
      <c r="X13" s="569">
        <v>0</v>
      </c>
    </row>
    <row customHeight="1" ht="22.5" hidden="1">
      <c r="A14" s="2456"/>
      <c r="D14" s="603" t="s">
        <v>111</v>
      </c>
      <c r="E14" s="343" t="s">
        <v>815</v>
      </c>
      <c r="F14" s="724" t="s">
        <v>816</v>
      </c>
      <c r="G14" s="621"/>
      <c r="H14" s="726"/>
      <c r="I14" s="621"/>
      <c r="J14" s="726"/>
      <c r="K14" s="353" t="s">
        <v>817</v>
      </c>
      <c r="L14" s="784"/>
      <c r="X14" s="569">
        <v>0</v>
      </c>
    </row>
    <row s="5468" customFormat="1" customHeight="1" ht="78.75" hidden="1">
      <c r="A15" s="2456"/>
      <c r="B15" s="575"/>
      <c r="D15" s="1017" t="s">
        <v>91</v>
      </c>
      <c r="E15" s="771" t="s">
        <v>818</v>
      </c>
      <c r="F15" s="1014" t="s">
        <v>310</v>
      </c>
      <c r="G15" s="1014" t="s">
        <v>310</v>
      </c>
      <c r="H15" s="170"/>
      <c r="I15" s="1014" t="s">
        <v>310</v>
      </c>
      <c r="J15" s="170"/>
      <c r="K15" s="353" t="s">
        <v>819</v>
      </c>
      <c r="L15" s="784"/>
      <c r="X15" s="822">
        <v>0</v>
      </c>
    </row>
    <row s="5468" customFormat="1" customHeight="1" ht="22.5" hidden="1">
      <c r="A16" s="2456"/>
      <c r="B16" s="575"/>
      <c r="D16" s="1017" t="s">
        <v>328</v>
      </c>
      <c r="E16" s="1018" t="s">
        <v>820</v>
      </c>
      <c r="F16" s="1014" t="s">
        <v>821</v>
      </c>
      <c r="G16" s="881"/>
      <c r="H16" s="170"/>
      <c r="I16" s="881"/>
      <c r="J16" s="170"/>
      <c r="K16" s="353"/>
      <c r="L16" s="784"/>
      <c r="X16" s="822">
        <v>0</v>
      </c>
    </row>
    <row s="5468" customFormat="1" customHeight="1" ht="22.5" hidden="1">
      <c r="A17" s="2456"/>
      <c r="B17" s="575"/>
      <c r="D17" s="1017" t="s">
        <v>336</v>
      </c>
      <c r="E17" s="1018" t="s">
        <v>822</v>
      </c>
      <c r="F17" s="1014" t="s">
        <v>823</v>
      </c>
      <c r="G17" s="881"/>
      <c r="H17" s="170"/>
      <c r="I17" s="881"/>
      <c r="J17" s="170"/>
      <c r="K17" s="353"/>
      <c r="L17" s="784"/>
      <c r="X17" s="822">
        <v>0</v>
      </c>
    </row>
    <row s="5468" customFormat="1" customHeight="1" ht="33.75" hidden="1">
      <c r="A18" s="2456"/>
      <c r="B18" s="575"/>
      <c r="D18" s="1017" t="s">
        <v>338</v>
      </c>
      <c r="E18" s="1018" t="s">
        <v>824</v>
      </c>
      <c r="F18" s="1014" t="s">
        <v>575</v>
      </c>
      <c r="G18" s="744"/>
      <c r="H18" s="170"/>
      <c r="I18" s="744"/>
      <c r="J18" s="170"/>
      <c r="K18" s="353"/>
      <c r="L18" s="784"/>
      <c r="X18" s="822">
        <v>0</v>
      </c>
    </row>
    <row customHeight="1" ht="101.25" hidden="1">
      <c r="A19" s="2456"/>
      <c r="D19" s="1017" t="s">
        <v>92</v>
      </c>
      <c r="E19" s="343" t="s">
        <v>825</v>
      </c>
      <c r="F19" s="724" t="s">
        <v>550</v>
      </c>
      <c r="G19" s="727"/>
      <c r="H19" s="726"/>
      <c r="I19" s="1019"/>
      <c r="J19" s="726"/>
      <c r="K19" s="353" t="s">
        <v>826</v>
      </c>
      <c r="L19" s="784"/>
      <c r="X19" s="569">
        <v>0</v>
      </c>
    </row>
    <row s="5468" customFormat="1" customHeight="1" ht="18.75" hidden="1">
      <c r="A20" s="2456"/>
      <c r="C20" s="1020"/>
      <c r="D20" s="1017" t="s">
        <v>757</v>
      </c>
      <c r="E20" s="1018" t="s">
        <v>827</v>
      </c>
      <c r="F20" s="1014" t="s">
        <v>310</v>
      </c>
      <c r="G20" s="1014" t="s">
        <v>310</v>
      </c>
      <c r="H20" s="1013" t="s">
        <v>310</v>
      </c>
      <c r="I20" s="1014" t="s">
        <v>310</v>
      </c>
      <c r="J20" s="1013" t="s">
        <v>310</v>
      </c>
      <c r="K20" s="1012"/>
      <c r="L20" s="784"/>
      <c r="W20" s="739"/>
      <c r="X20" s="822">
        <v>0</v>
      </c>
    </row>
    <row s="5468" customFormat="1" customHeight="1" ht="33.75" hidden="1">
      <c r="A21" s="2456"/>
      <c r="C21" s="1020"/>
      <c r="D21" s="1017" t="s">
        <v>760</v>
      </c>
      <c r="E21" s="640" t="s">
        <v>828</v>
      </c>
      <c r="F21" s="1014" t="s">
        <v>829</v>
      </c>
      <c r="G21" s="744"/>
      <c r="H21" s="170"/>
      <c r="I21" s="744"/>
      <c r="J21" s="170"/>
      <c r="K21" s="1012"/>
      <c r="L21" s="784"/>
      <c r="W21" s="739"/>
      <c r="X21" s="822">
        <v>0</v>
      </c>
    </row>
    <row s="5468" customFormat="1" customHeight="1" ht="33.75" hidden="1">
      <c r="A22" s="2456"/>
      <c r="C22" s="1020"/>
      <c r="D22" s="1017" t="s">
        <v>763</v>
      </c>
      <c r="E22" s="640" t="s">
        <v>830</v>
      </c>
      <c r="F22" s="1014" t="s">
        <v>831</v>
      </c>
      <c r="G22" s="744"/>
      <c r="H22" s="170"/>
      <c r="I22" s="744"/>
      <c r="J22" s="170"/>
      <c r="K22" s="1012"/>
      <c r="L22" s="784"/>
      <c r="W22" s="739"/>
      <c r="X22" s="822">
        <v>0</v>
      </c>
    </row>
    <row s="5468" customFormat="1" customHeight="1" ht="22.5" hidden="1">
      <c r="A23" s="2456"/>
      <c r="C23" s="1020"/>
      <c r="D23" s="1017" t="s">
        <v>799</v>
      </c>
      <c r="E23" s="1018" t="s">
        <v>832</v>
      </c>
      <c r="F23" s="1014" t="s">
        <v>310</v>
      </c>
      <c r="G23" s="1014" t="s">
        <v>310</v>
      </c>
      <c r="H23" s="1013" t="s">
        <v>310</v>
      </c>
      <c r="I23" s="1014" t="s">
        <v>310</v>
      </c>
      <c r="J23" s="1013" t="s">
        <v>310</v>
      </c>
      <c r="K23" s="1012"/>
      <c r="L23" s="784"/>
      <c r="W23" s="739"/>
      <c r="X23" s="822">
        <v>0</v>
      </c>
    </row>
    <row s="5468" customFormat="1" customHeight="1" ht="22.5" hidden="1">
      <c r="A24" s="2456"/>
      <c r="C24" s="1020"/>
      <c r="D24" s="1017" t="s">
        <v>833</v>
      </c>
      <c r="E24" s="640" t="s">
        <v>834</v>
      </c>
      <c r="F24" s="1014" t="s">
        <v>835</v>
      </c>
      <c r="G24" s="744"/>
      <c r="H24" s="750"/>
      <c r="I24" s="744"/>
      <c r="J24" s="750"/>
      <c r="K24" s="1012"/>
      <c r="L24" s="784"/>
      <c r="W24" s="739"/>
      <c r="X24" s="822">
        <v>0</v>
      </c>
    </row>
    <row s="5468" customFormat="1" customHeight="1" ht="22.5" hidden="1">
      <c r="A25" s="2456"/>
      <c r="C25" s="1020"/>
      <c r="D25" s="1017" t="s">
        <v>836</v>
      </c>
      <c r="E25" s="640" t="s">
        <v>837</v>
      </c>
      <c r="F25" s="1014" t="s">
        <v>310</v>
      </c>
      <c r="G25" s="1014" t="s">
        <v>310</v>
      </c>
      <c r="H25" s="1013" t="s">
        <v>310</v>
      </c>
      <c r="I25" s="1014" t="s">
        <v>310</v>
      </c>
      <c r="J25" s="1013" t="s">
        <v>310</v>
      </c>
      <c r="K25" s="1012"/>
      <c r="L25" s="784"/>
      <c r="W25" s="739"/>
      <c r="X25" s="822">
        <v>0</v>
      </c>
    </row>
    <row s="5468" customFormat="1" customHeight="1" ht="18.75" hidden="1">
      <c r="A26" s="2456"/>
      <c r="C26" s="1020"/>
      <c r="D26" s="1017" t="s">
        <v>838</v>
      </c>
      <c r="E26" s="617" t="s">
        <v>839</v>
      </c>
      <c r="F26" s="1014" t="s">
        <v>840</v>
      </c>
      <c r="G26" s="744"/>
      <c r="H26" s="750"/>
      <c r="I26" s="744"/>
      <c r="J26" s="750"/>
      <c r="K26" s="1012"/>
      <c r="L26" s="784"/>
      <c r="W26" s="739"/>
      <c r="X26" s="822">
        <v>0</v>
      </c>
    </row>
    <row s="5468" customFormat="1" customHeight="1" ht="18.75" hidden="1">
      <c r="A27" s="2456"/>
      <c r="C27" s="1020"/>
      <c r="D27" s="1017" t="s">
        <v>841</v>
      </c>
      <c r="E27" s="617" t="s">
        <v>842</v>
      </c>
      <c r="F27" s="1014" t="s">
        <v>843</v>
      </c>
      <c r="G27" s="744"/>
      <c r="H27" s="750"/>
      <c r="I27" s="744"/>
      <c r="J27" s="750"/>
      <c r="K27" s="1012"/>
      <c r="L27" s="784"/>
      <c r="W27" s="739"/>
      <c r="X27" s="822">
        <v>0</v>
      </c>
    </row>
    <row s="5468" customFormat="1" customHeight="1" ht="18.75" hidden="1">
      <c r="A28" s="2456"/>
      <c r="C28" s="1020"/>
      <c r="D28" s="1017" t="s">
        <v>844</v>
      </c>
      <c r="E28" s="640" t="s">
        <v>845</v>
      </c>
      <c r="F28" s="1014" t="s">
        <v>310</v>
      </c>
      <c r="G28" s="1014" t="s">
        <v>310</v>
      </c>
      <c r="H28" s="1013" t="s">
        <v>310</v>
      </c>
      <c r="I28" s="1014" t="s">
        <v>310</v>
      </c>
      <c r="J28" s="1013" t="s">
        <v>310</v>
      </c>
      <c r="K28" s="1012"/>
      <c r="L28" s="784"/>
      <c r="W28" s="739"/>
      <c r="X28" s="822">
        <v>0</v>
      </c>
    </row>
    <row s="5468" customFormat="1" customHeight="1" ht="18.75" hidden="1">
      <c r="A29" s="2456"/>
      <c r="C29" s="1020"/>
      <c r="D29" s="1017" t="s">
        <v>846</v>
      </c>
      <c r="E29" s="617" t="s">
        <v>839</v>
      </c>
      <c r="F29" s="1014" t="s">
        <v>847</v>
      </c>
      <c r="G29" s="744"/>
      <c r="H29" s="750"/>
      <c r="I29" s="744"/>
      <c r="J29" s="750"/>
      <c r="K29" s="1012"/>
      <c r="L29" s="784"/>
      <c r="W29" s="739"/>
      <c r="X29" s="822">
        <v>0</v>
      </c>
    </row>
    <row s="5468" customFormat="1" customHeight="1" ht="18.75" hidden="1">
      <c r="A30" s="2456"/>
      <c r="C30" s="1020"/>
      <c r="D30" s="1017" t="s">
        <v>848</v>
      </c>
      <c r="E30" s="617" t="s">
        <v>849</v>
      </c>
      <c r="F30" s="1014" t="s">
        <v>850</v>
      </c>
      <c r="G30" s="744"/>
      <c r="H30" s="750"/>
      <c r="I30" s="744"/>
      <c r="J30" s="750"/>
      <c r="K30" s="1012"/>
      <c r="L30" s="784"/>
      <c r="W30" s="739"/>
      <c r="X30" s="822">
        <v>0</v>
      </c>
    </row>
    <row customHeight="1" ht="126.75" hidden="1">
      <c r="A31" s="2456"/>
      <c r="D31" s="1017" t="s">
        <v>112</v>
      </c>
      <c r="E31" s="343" t="s">
        <v>851</v>
      </c>
      <c r="F31" s="724" t="s">
        <v>562</v>
      </c>
      <c r="G31" s="621"/>
      <c r="H31" s="726"/>
      <c r="I31" s="621"/>
      <c r="J31" s="726"/>
      <c r="K31" s="353" t="s">
        <v>852</v>
      </c>
      <c r="L31" s="784"/>
      <c r="X31" s="569">
        <v>0</v>
      </c>
    </row>
    <row customHeight="1" ht="56.25" hidden="1">
      <c r="A32" s="2456"/>
      <c r="D32" s="1017" t="s">
        <v>93</v>
      </c>
      <c r="E32" s="343" t="s">
        <v>853</v>
      </c>
      <c r="F32" s="603" t="s">
        <v>823</v>
      </c>
      <c r="G32" s="621"/>
      <c r="H32" s="726"/>
      <c r="I32" s="621"/>
      <c r="J32" s="726"/>
      <c r="K32" s="353" t="s">
        <v>854</v>
      </c>
      <c r="L32" s="784"/>
      <c r="X32" s="569">
        <v>0</v>
      </c>
    </row>
    <row customHeight="1" ht="11.25" hidden="1">
      <c r="A33" s="2456"/>
      <c r="E33" s="728"/>
      <c r="F33" s="245"/>
      <c r="G33" s="245"/>
      <c r="H33" s="245"/>
      <c r="I33" s="245"/>
      <c r="J33" s="245"/>
      <c r="K33" s="245"/>
      <c r="X33" s="569">
        <v>0</v>
      </c>
    </row>
    <row customHeight="1" ht="12.75" hidden="1">
      <c r="A34" s="2456"/>
      <c r="D34" s="129">
        <v>1</v>
      </c>
      <c r="E34" s="399" t="s">
        <v>855</v>
      </c>
      <c r="X34" s="569">
        <v>0</v>
      </c>
    </row>
    <row customHeight="1" ht="11.25" hidden="1">
      <c r="A35" s="2456"/>
      <c r="D35" s="433"/>
      <c r="E35" s="399" t="s">
        <v>856</v>
      </c>
      <c r="X35" s="569">
        <v>0</v>
      </c>
    </row>
    <row s="5468" customFormat="1" customHeight="1" ht="11.549999999999999">
      <c r="A36" s="1097"/>
      <c r="B36" s="582"/>
      <c r="D36" s="1098"/>
      <c r="E36" s="1099"/>
      <c r="X36" s="573">
        <v>11</v>
      </c>
    </row>
    <row s="5468" customFormat="1" customHeight="1" ht="22.5" hidden="1">
      <c r="A37" s="2456" t="s">
        <v>857</v>
      </c>
      <c r="B37" s="575"/>
      <c r="D37" s="1017">
        <v>1</v>
      </c>
      <c r="E37" s="771" t="s">
        <v>858</v>
      </c>
      <c r="F37" s="724" t="s">
        <v>813</v>
      </c>
      <c r="G37" s="621"/>
      <c r="H37" s="583"/>
      <c r="I37" s="621"/>
      <c r="J37" s="583"/>
      <c r="K37" s="353" t="s">
        <v>859</v>
      </c>
      <c r="X37" s="822">
        <v>0</v>
      </c>
    </row>
    <row s="5468" customFormat="1" customHeight="1" ht="22.5" hidden="1">
      <c r="A38" s="2456"/>
      <c r="B38" s="575"/>
      <c r="D38" s="733" t="s">
        <v>111</v>
      </c>
      <c r="E38" s="1096" t="s">
        <v>860</v>
      </c>
      <c r="F38" s="1100" t="s">
        <v>550</v>
      </c>
      <c r="G38" s="1100" t="s">
        <v>550</v>
      </c>
      <c r="H38" s="1094"/>
      <c r="I38" s="1100" t="s">
        <v>550</v>
      </c>
      <c r="J38" s="1094"/>
      <c r="K38" s="1095"/>
      <c r="X38" s="822">
        <v>0</v>
      </c>
    </row>
    <row s="5468" customFormat="1" customHeight="1" ht="33.75" hidden="1">
      <c r="A39" s="2456"/>
      <c r="B39" s="575"/>
      <c r="D39" s="729" t="s">
        <v>715</v>
      </c>
      <c r="E39" s="787" t="s">
        <v>861</v>
      </c>
      <c r="F39" s="724" t="s">
        <v>862</v>
      </c>
      <c r="G39" s="732"/>
      <c r="H39" s="1087"/>
      <c r="I39" s="732"/>
      <c r="J39" s="1087"/>
      <c r="K39" s="353" t="s">
        <v>863</v>
      </c>
      <c r="X39" s="822">
        <v>0</v>
      </c>
    </row>
    <row s="5468" customFormat="1" customHeight="1" ht="33.75" hidden="1">
      <c r="A40" s="2456"/>
      <c r="B40" s="575"/>
      <c r="D40" s="729" t="s">
        <v>718</v>
      </c>
      <c r="E40" s="787" t="s">
        <v>864</v>
      </c>
      <c r="F40" s="1091" t="s">
        <v>865</v>
      </c>
      <c r="G40" s="805"/>
      <c r="H40" s="1087"/>
      <c r="I40" s="805"/>
      <c r="J40" s="1087"/>
      <c r="K40" s="353" t="s">
        <v>866</v>
      </c>
      <c r="X40" s="822">
        <v>0</v>
      </c>
    </row>
    <row s="5468" customFormat="1" customHeight="1" ht="22.5" hidden="1">
      <c r="A41" s="2456"/>
      <c r="B41" s="575"/>
      <c r="D41" s="729" t="s">
        <v>91</v>
      </c>
      <c r="E41" s="786" t="s">
        <v>867</v>
      </c>
      <c r="F41" s="724" t="s">
        <v>550</v>
      </c>
      <c r="G41" s="724" t="s">
        <v>550</v>
      </c>
      <c r="H41" s="1088"/>
      <c r="I41" s="724" t="s">
        <v>550</v>
      </c>
      <c r="J41" s="1088"/>
      <c r="K41" s="366"/>
      <c r="X41" s="822">
        <v>0</v>
      </c>
    </row>
    <row s="5468" customFormat="1" customHeight="1" ht="45" hidden="1">
      <c r="A42" s="2456"/>
      <c r="B42" s="575"/>
      <c r="D42" s="729" t="s">
        <v>328</v>
      </c>
      <c r="E42" s="787" t="s">
        <v>868</v>
      </c>
      <c r="F42" s="724" t="s">
        <v>562</v>
      </c>
      <c r="G42" s="621"/>
      <c r="H42" s="1088"/>
      <c r="I42" s="621"/>
      <c r="J42" s="1088"/>
      <c r="K42" s="366" t="s">
        <v>869</v>
      </c>
      <c r="X42" s="822">
        <v>0</v>
      </c>
    </row>
    <row s="5468" customFormat="1" customHeight="1" ht="45" hidden="1">
      <c r="A43" s="2456"/>
      <c r="B43" s="575"/>
      <c r="D43" s="729" t="s">
        <v>336</v>
      </c>
      <c r="E43" s="731" t="s">
        <v>870</v>
      </c>
      <c r="F43" s="1092" t="s">
        <v>562</v>
      </c>
      <c r="G43" s="806"/>
      <c r="H43" s="1087"/>
      <c r="I43" s="806"/>
      <c r="J43" s="1087"/>
      <c r="K43" s="366" t="s">
        <v>871</v>
      </c>
      <c r="X43" s="822">
        <v>0</v>
      </c>
    </row>
    <row s="5468" customFormat="1" customHeight="1" ht="11.25" hidden="1">
      <c r="A44" s="2456"/>
      <c r="B44" s="575"/>
      <c r="D44" s="729" t="s">
        <v>92</v>
      </c>
      <c r="E44" s="730" t="s">
        <v>872</v>
      </c>
      <c r="F44" s="724" t="s">
        <v>862</v>
      </c>
      <c r="G44" s="732"/>
      <c r="H44" s="1087"/>
      <c r="I44" s="732"/>
      <c r="J44" s="1087"/>
      <c r="K44" s="353"/>
      <c r="X44" s="822">
        <v>0</v>
      </c>
    </row>
    <row s="5468" customFormat="1" customHeight="1" ht="11.25" hidden="1">
      <c r="A45" s="2456"/>
      <c r="B45" s="575"/>
      <c r="D45" s="729" t="s">
        <v>757</v>
      </c>
      <c r="E45" s="731" t="s">
        <v>873</v>
      </c>
      <c r="F45" s="724" t="s">
        <v>862</v>
      </c>
      <c r="G45" s="732"/>
      <c r="H45" s="1087"/>
      <c r="I45" s="732"/>
      <c r="J45" s="1087"/>
      <c r="K45" s="353"/>
      <c r="X45" s="822">
        <v>0</v>
      </c>
    </row>
    <row s="5468" customFormat="1" customHeight="1" ht="11.25" hidden="1">
      <c r="A46" s="2456"/>
      <c r="B46" s="575"/>
      <c r="D46" s="729" t="s">
        <v>799</v>
      </c>
      <c r="E46" s="731" t="s">
        <v>874</v>
      </c>
      <c r="F46" s="724" t="s">
        <v>862</v>
      </c>
      <c r="G46" s="732"/>
      <c r="H46" s="1087"/>
      <c r="I46" s="732"/>
      <c r="J46" s="1087"/>
      <c r="K46" s="353"/>
      <c r="X46" s="822">
        <v>0</v>
      </c>
    </row>
    <row s="5468" customFormat="1" customHeight="1" ht="11.25" hidden="1">
      <c r="A47" s="2456"/>
      <c r="B47" s="575"/>
      <c r="D47" s="729" t="s">
        <v>802</v>
      </c>
      <c r="E47" s="731" t="s">
        <v>875</v>
      </c>
      <c r="F47" s="724" t="s">
        <v>862</v>
      </c>
      <c r="G47" s="732"/>
      <c r="H47" s="1087"/>
      <c r="I47" s="732"/>
      <c r="J47" s="1087"/>
      <c r="K47" s="353"/>
      <c r="X47" s="822">
        <v>0</v>
      </c>
    </row>
    <row s="5468" customFormat="1" customHeight="1" ht="11.25" hidden="1">
      <c r="A48" s="2456"/>
      <c r="B48" s="575"/>
      <c r="D48" s="729" t="s">
        <v>876</v>
      </c>
      <c r="E48" s="735" t="s">
        <v>877</v>
      </c>
      <c r="F48" s="724" t="s">
        <v>862</v>
      </c>
      <c r="G48" s="732"/>
      <c r="H48" s="1087"/>
      <c r="I48" s="732"/>
      <c r="J48" s="1087"/>
      <c r="K48" s="353"/>
      <c r="X48" s="822">
        <v>0</v>
      </c>
    </row>
    <row s="5468" customFormat="1" customHeight="1" ht="11.25" hidden="1">
      <c r="A49" s="2456"/>
      <c r="B49" s="575"/>
      <c r="D49" s="729" t="s">
        <v>878</v>
      </c>
      <c r="E49" s="735" t="s">
        <v>879</v>
      </c>
      <c r="F49" s="724" t="s">
        <v>862</v>
      </c>
      <c r="G49" s="732"/>
      <c r="H49" s="1087"/>
      <c r="I49" s="732"/>
      <c r="J49" s="1087"/>
      <c r="K49" s="353"/>
      <c r="X49" s="822">
        <v>0</v>
      </c>
    </row>
    <row s="5468" customFormat="1" customHeight="1" ht="11.25" hidden="1">
      <c r="A50" s="2456"/>
      <c r="B50" s="575"/>
      <c r="D50" s="729" t="s">
        <v>880</v>
      </c>
      <c r="E50" s="731" t="s">
        <v>881</v>
      </c>
      <c r="F50" s="724" t="s">
        <v>862</v>
      </c>
      <c r="G50" s="732"/>
      <c r="H50" s="1087"/>
      <c r="I50" s="732"/>
      <c r="J50" s="1087"/>
      <c r="K50" s="353"/>
      <c r="X50" s="822">
        <v>0</v>
      </c>
    </row>
    <row s="5468" customFormat="1" customHeight="1" ht="11.25" hidden="1">
      <c r="A51" s="2456"/>
      <c r="B51" s="575"/>
      <c r="D51" s="729" t="s">
        <v>882</v>
      </c>
      <c r="E51" s="731" t="s">
        <v>883</v>
      </c>
      <c r="F51" s="724" t="s">
        <v>862</v>
      </c>
      <c r="G51" s="732"/>
      <c r="H51" s="1087"/>
      <c r="I51" s="732"/>
      <c r="J51" s="1087"/>
      <c r="K51" s="353"/>
      <c r="X51" s="822">
        <v>0</v>
      </c>
    </row>
    <row s="5468" customFormat="1" customHeight="1" ht="45" hidden="1">
      <c r="A52" s="2456"/>
      <c r="B52" s="575"/>
      <c r="D52" s="729" t="s">
        <v>112</v>
      </c>
      <c r="E52" s="730" t="s">
        <v>884</v>
      </c>
      <c r="F52" s="724" t="s">
        <v>862</v>
      </c>
      <c r="G52" s="732"/>
      <c r="H52" s="1087"/>
      <c r="I52" s="732"/>
      <c r="J52" s="1087"/>
      <c r="K52" s="353"/>
      <c r="X52" s="822">
        <v>0</v>
      </c>
    </row>
    <row s="5468" customFormat="1" customHeight="1" ht="11.25" hidden="1">
      <c r="A53" s="2456"/>
      <c r="B53" s="575"/>
      <c r="D53" s="729" t="s">
        <v>317</v>
      </c>
      <c r="E53" s="731" t="s">
        <v>873</v>
      </c>
      <c r="F53" s="724" t="s">
        <v>862</v>
      </c>
      <c r="G53" s="732"/>
      <c r="H53" s="1087"/>
      <c r="I53" s="732"/>
      <c r="J53" s="1087"/>
      <c r="K53" s="353"/>
      <c r="X53" s="822">
        <v>0</v>
      </c>
    </row>
    <row s="5468" customFormat="1" customHeight="1" ht="11.25" hidden="1">
      <c r="A54" s="2456"/>
      <c r="B54" s="575"/>
      <c r="D54" s="729" t="s">
        <v>885</v>
      </c>
      <c r="E54" s="731" t="s">
        <v>874</v>
      </c>
      <c r="F54" s="724" t="s">
        <v>862</v>
      </c>
      <c r="G54" s="732"/>
      <c r="H54" s="1087"/>
      <c r="I54" s="732"/>
      <c r="J54" s="1087"/>
      <c r="K54" s="353"/>
      <c r="X54" s="822">
        <v>0</v>
      </c>
    </row>
    <row s="5468" customFormat="1" customHeight="1" ht="11.25" hidden="1">
      <c r="A55" s="2456"/>
      <c r="B55" s="575"/>
      <c r="D55" s="729" t="s">
        <v>886</v>
      </c>
      <c r="E55" s="731" t="s">
        <v>875</v>
      </c>
      <c r="F55" s="724" t="s">
        <v>862</v>
      </c>
      <c r="G55" s="732"/>
      <c r="H55" s="1087"/>
      <c r="I55" s="732"/>
      <c r="J55" s="1087"/>
      <c r="K55" s="353"/>
      <c r="X55" s="822">
        <v>0</v>
      </c>
    </row>
    <row s="5468" customFormat="1" customHeight="1" ht="11.25" hidden="1">
      <c r="A56" s="2456"/>
      <c r="B56" s="575"/>
      <c r="D56" s="729" t="s">
        <v>887</v>
      </c>
      <c r="E56" s="735" t="s">
        <v>877</v>
      </c>
      <c r="F56" s="724" t="s">
        <v>862</v>
      </c>
      <c r="G56" s="732"/>
      <c r="H56" s="1087"/>
      <c r="I56" s="732"/>
      <c r="J56" s="1087"/>
      <c r="K56" s="353"/>
      <c r="X56" s="822">
        <v>0</v>
      </c>
    </row>
    <row s="5468" customFormat="1" customHeight="1" ht="11.25" hidden="1">
      <c r="A57" s="2456"/>
      <c r="B57" s="575"/>
      <c r="D57" s="729" t="s">
        <v>888</v>
      </c>
      <c r="E57" s="735" t="s">
        <v>879</v>
      </c>
      <c r="F57" s="724" t="s">
        <v>862</v>
      </c>
      <c r="G57" s="732"/>
      <c r="H57" s="1087"/>
      <c r="I57" s="732"/>
      <c r="J57" s="1087"/>
      <c r="K57" s="353"/>
      <c r="X57" s="822">
        <v>0</v>
      </c>
    </row>
    <row s="5468" customFormat="1" customHeight="1" ht="11.25" hidden="1">
      <c r="A58" s="2456"/>
      <c r="B58" s="575"/>
      <c r="D58" s="729" t="s">
        <v>889</v>
      </c>
      <c r="E58" s="731" t="s">
        <v>881</v>
      </c>
      <c r="F58" s="724" t="s">
        <v>862</v>
      </c>
      <c r="G58" s="732"/>
      <c r="H58" s="1087"/>
      <c r="I58" s="732"/>
      <c r="J58" s="1087"/>
      <c r="K58" s="353"/>
      <c r="X58" s="822">
        <v>0</v>
      </c>
    </row>
    <row s="5468" customFormat="1" customHeight="1" ht="11.25" hidden="1">
      <c r="A59" s="2456"/>
      <c r="B59" s="575"/>
      <c r="D59" s="729" t="s">
        <v>890</v>
      </c>
      <c r="E59" s="731" t="s">
        <v>883</v>
      </c>
      <c r="F59" s="724" t="s">
        <v>862</v>
      </c>
      <c r="G59" s="732"/>
      <c r="H59" s="1087"/>
      <c r="I59" s="732"/>
      <c r="J59" s="1087"/>
      <c r="K59" s="353"/>
      <c r="X59" s="822">
        <v>0</v>
      </c>
    </row>
    <row s="5468" customFormat="1" customHeight="1" ht="33.75" hidden="1">
      <c r="A60" s="2456"/>
      <c r="B60" s="575"/>
      <c r="D60" s="729" t="s">
        <v>93</v>
      </c>
      <c r="E60" s="730" t="s">
        <v>891</v>
      </c>
      <c r="F60" s="785" t="s">
        <v>562</v>
      </c>
      <c r="G60" s="806"/>
      <c r="H60" s="1087"/>
      <c r="I60" s="806"/>
      <c r="J60" s="1087"/>
      <c r="K60" s="366" t="s">
        <v>892</v>
      </c>
      <c r="X60" s="822">
        <v>0</v>
      </c>
    </row>
    <row s="5468" customFormat="1" customHeight="1" ht="33.75" hidden="1">
      <c r="A61" s="2456"/>
      <c r="B61" s="575"/>
      <c r="D61" s="729" t="s">
        <v>94</v>
      </c>
      <c r="E61" s="730" t="s">
        <v>893</v>
      </c>
      <c r="F61" s="790" t="s">
        <v>823</v>
      </c>
      <c r="G61" s="732"/>
      <c r="H61" s="1087"/>
      <c r="I61" s="732"/>
      <c r="J61" s="1087"/>
      <c r="K61" s="353"/>
      <c r="X61" s="822">
        <v>0</v>
      </c>
    </row>
    <row s="5468" customFormat="1" customHeight="1" ht="22.5" hidden="1">
      <c r="A62" s="2456"/>
      <c r="B62" s="575" t="s">
        <v>592</v>
      </c>
      <c r="D62" s="729" t="s">
        <v>113</v>
      </c>
      <c r="E62" s="730" t="s">
        <v>894</v>
      </c>
      <c r="F62" s="790" t="s">
        <v>310</v>
      </c>
      <c r="G62" s="446"/>
      <c r="H62" s="1087"/>
      <c r="I62" s="446"/>
      <c r="J62" s="1087"/>
      <c r="K62" s="353" t="s">
        <v>635</v>
      </c>
      <c r="X62" s="822">
        <v>0</v>
      </c>
    </row>
    <row s="5468" customFormat="1" customHeight="1" ht="45" hidden="1">
      <c r="A63" s="2456"/>
      <c r="B63" s="575" t="s">
        <v>592</v>
      </c>
      <c r="D63" s="729" t="s">
        <v>895</v>
      </c>
      <c r="E63" s="731" t="s">
        <v>896</v>
      </c>
      <c r="F63" s="785" t="s">
        <v>310</v>
      </c>
      <c r="G63" s="446"/>
      <c r="H63" s="1087"/>
      <c r="I63" s="446"/>
      <c r="J63" s="1087"/>
      <c r="K63" s="353" t="s">
        <v>635</v>
      </c>
      <c r="X63" s="822">
        <v>0</v>
      </c>
    </row>
    <row s="5468" customFormat="1" customHeight="1" ht="11.549999999999999">
      <c r="A64" s="1097"/>
      <c r="B64" s="582"/>
      <c r="D64" s="1098"/>
      <c r="E64" s="1099"/>
      <c r="X64" s="573">
        <v>11</v>
      </c>
    </row>
    <row s="5468" customFormat="1" customHeight="1" ht="22.5">
      <c r="A65" s="2456" t="s">
        <v>897</v>
      </c>
      <c r="B65" s="575"/>
      <c r="D65" s="729">
        <v>1</v>
      </c>
      <c r="E65" s="808" t="s">
        <v>898</v>
      </c>
      <c r="F65" s="804" t="s">
        <v>813</v>
      </c>
      <c r="G65" s="805"/>
      <c r="H65" s="1093"/>
      <c r="I65" s="805"/>
      <c r="J65" s="1093"/>
      <c r="K65" s="365" t="s">
        <v>899</v>
      </c>
      <c r="X65" s="822">
        <v>0</v>
      </c>
    </row>
    <row s="5468" customFormat="1" customHeight="1" ht="56.25">
      <c r="A66" s="2456"/>
      <c r="B66" s="575"/>
      <c r="D66" s="807" t="s">
        <v>111</v>
      </c>
      <c r="E66" s="771" t="s">
        <v>900</v>
      </c>
      <c r="F66" s="724" t="s">
        <v>550</v>
      </c>
      <c r="G66" s="724" t="s">
        <v>550</v>
      </c>
      <c r="H66" s="583"/>
      <c r="I66" s="724" t="s">
        <v>550</v>
      </c>
      <c r="J66" s="583"/>
      <c r="K66" s="353"/>
      <c r="X66" s="822">
        <v>0</v>
      </c>
    </row>
    <row s="5468" customFormat="1" customHeight="1" ht="33.75">
      <c r="A67" s="2456"/>
      <c r="B67" s="575"/>
      <c r="D67" s="807" t="s">
        <v>712</v>
      </c>
      <c r="E67" s="1018" t="s">
        <v>901</v>
      </c>
      <c r="F67" s="724" t="s">
        <v>865</v>
      </c>
      <c r="G67" s="791"/>
      <c r="H67" s="583"/>
      <c r="I67" s="791"/>
      <c r="J67" s="583"/>
      <c r="K67" s="353"/>
      <c r="X67" s="822">
        <v>0</v>
      </c>
    </row>
    <row s="5468" customFormat="1" customHeight="1" ht="22.5">
      <c r="A68" s="2456"/>
      <c r="B68" s="575"/>
      <c r="D68" s="807" t="s">
        <v>311</v>
      </c>
      <c r="E68" s="1018" t="s">
        <v>902</v>
      </c>
      <c r="F68" s="724" t="s">
        <v>865</v>
      </c>
      <c r="G68" s="791"/>
      <c r="H68" s="583"/>
      <c r="I68" s="791"/>
      <c r="J68" s="583"/>
      <c r="K68" s="353"/>
      <c r="X68" s="822">
        <v>0</v>
      </c>
    </row>
    <row s="5468" customFormat="1" customHeight="1" ht="22.5">
      <c r="A69" s="2456"/>
      <c r="B69" s="575"/>
      <c r="D69" s="807" t="s">
        <v>314</v>
      </c>
      <c r="E69" s="1018" t="s">
        <v>903</v>
      </c>
      <c r="F69" s="785" t="s">
        <v>562</v>
      </c>
      <c r="G69" s="806"/>
      <c r="H69" s="583"/>
      <c r="I69" s="806"/>
      <c r="J69" s="583"/>
      <c r="K69" s="353"/>
      <c r="X69" s="822">
        <v>0</v>
      </c>
    </row>
    <row s="5468" customFormat="1" customHeight="1" ht="22.5">
      <c r="A70" s="2456"/>
      <c r="B70" s="575"/>
      <c r="D70" s="807" t="s">
        <v>732</v>
      </c>
      <c r="E70" s="1018" t="s">
        <v>904</v>
      </c>
      <c r="F70" s="785" t="s">
        <v>562</v>
      </c>
      <c r="G70" s="806"/>
      <c r="H70" s="583"/>
      <c r="I70" s="806"/>
      <c r="J70" s="583"/>
      <c r="K70" s="353"/>
      <c r="X70" s="822">
        <v>0</v>
      </c>
    </row>
    <row s="5468" customFormat="1" customHeight="1" ht="22.5">
      <c r="A71" s="2456"/>
      <c r="B71" s="575"/>
      <c r="D71" s="729" t="s">
        <v>91</v>
      </c>
      <c r="E71" s="730" t="s">
        <v>905</v>
      </c>
      <c r="F71" s="724" t="s">
        <v>865</v>
      </c>
      <c r="G71" s="621"/>
      <c r="H71" s="1094"/>
      <c r="I71" s="621"/>
      <c r="J71" s="1094"/>
      <c r="K71" s="366"/>
      <c r="X71" s="822">
        <v>0</v>
      </c>
    </row>
    <row s="5468" customFormat="1" customHeight="1" ht="56.25">
      <c r="A72" s="2456"/>
      <c r="B72" s="575"/>
      <c r="D72" s="729" t="s">
        <v>92</v>
      </c>
      <c r="E72" s="730" t="s">
        <v>906</v>
      </c>
      <c r="F72" s="785" t="s">
        <v>562</v>
      </c>
      <c r="G72" s="806"/>
      <c r="H72" s="1087"/>
      <c r="I72" s="806"/>
      <c r="J72" s="1087"/>
      <c r="K72" s="366"/>
      <c r="X72" s="822">
        <v>0</v>
      </c>
    </row>
    <row s="5468" customFormat="1" customHeight="1" ht="33.75">
      <c r="A73" s="2456"/>
      <c r="B73" s="575"/>
      <c r="D73" s="729" t="s">
        <v>112</v>
      </c>
      <c r="E73" s="730" t="s">
        <v>907</v>
      </c>
      <c r="F73" s="790" t="s">
        <v>823</v>
      </c>
      <c r="G73" s="732"/>
      <c r="H73" s="1087"/>
      <c r="I73" s="732"/>
      <c r="J73" s="1087"/>
      <c r="K73" s="353"/>
      <c r="X73" s="822">
        <v>0</v>
      </c>
    </row>
    <row s="5468" customFormat="1" customHeight="1" ht="22.5">
      <c r="A74" s="2456"/>
      <c r="B74" s="575" t="s">
        <v>592</v>
      </c>
      <c r="D74" s="729" t="s">
        <v>93</v>
      </c>
      <c r="E74" s="730" t="s">
        <v>908</v>
      </c>
      <c r="F74" s="790" t="s">
        <v>310</v>
      </c>
      <c r="G74" s="446"/>
      <c r="H74" s="1087"/>
      <c r="I74" s="446"/>
      <c r="J74" s="1087"/>
      <c r="K74" s="353" t="s">
        <v>635</v>
      </c>
      <c r="X74" s="822">
        <v>0</v>
      </c>
    </row>
    <row s="5468" customFormat="1" customHeight="1" ht="45">
      <c r="A75" s="2456"/>
      <c r="B75" s="575" t="s">
        <v>592</v>
      </c>
      <c r="D75" s="729" t="s">
        <v>656</v>
      </c>
      <c r="E75" s="731" t="s">
        <v>909</v>
      </c>
      <c r="F75" s="785" t="s">
        <v>310</v>
      </c>
      <c r="G75" s="446"/>
      <c r="H75" s="1087"/>
      <c r="I75" s="446"/>
      <c r="J75" s="1087"/>
      <c r="K75" s="353" t="s">
        <v>635</v>
      </c>
      <c r="X75" s="822">
        <v>0</v>
      </c>
    </row>
    <row s="5468" customFormat="1" customHeight="1" ht="11.549999999999999">
      <c r="A76" s="1097"/>
      <c r="B76" s="582"/>
      <c r="D76" s="1098"/>
      <c r="E76" s="1099"/>
      <c r="X76" s="573">
        <v>11</v>
      </c>
    </row>
    <row s="5468" customFormat="1" customHeight="1" ht="11.25" hidden="1">
      <c r="A77" s="2456" t="s">
        <v>910</v>
      </c>
      <c r="B77" s="575"/>
      <c r="D77" s="729">
        <v>1</v>
      </c>
      <c r="E77" s="730" t="s">
        <v>911</v>
      </c>
      <c r="F77" s="785" t="s">
        <v>813</v>
      </c>
      <c r="G77" s="788"/>
      <c r="H77" s="1087"/>
      <c r="I77" s="788"/>
      <c r="J77" s="1087"/>
      <c r="K77" s="353" t="s">
        <v>912</v>
      </c>
      <c r="X77" s="822">
        <v>0</v>
      </c>
    </row>
    <row s="5468" customFormat="1" customHeight="1" ht="11.25" hidden="1">
      <c r="A78" s="2456"/>
      <c r="B78" s="575"/>
      <c r="D78" s="729" t="s">
        <v>111</v>
      </c>
      <c r="E78" s="730" t="s">
        <v>913</v>
      </c>
      <c r="F78" s="785" t="s">
        <v>813</v>
      </c>
      <c r="G78" s="788"/>
      <c r="H78" s="1087"/>
      <c r="I78" s="788"/>
      <c r="J78" s="1087"/>
      <c r="K78" s="353" t="s">
        <v>914</v>
      </c>
      <c r="X78" s="822">
        <v>0</v>
      </c>
    </row>
    <row s="5468" customFormat="1" customHeight="1" ht="22.5" hidden="1">
      <c r="A79" s="2456"/>
      <c r="B79" s="575"/>
      <c r="D79" s="729" t="s">
        <v>91</v>
      </c>
      <c r="E79" s="786" t="s">
        <v>915</v>
      </c>
      <c r="F79" s="724" t="s">
        <v>862</v>
      </c>
      <c r="G79" s="788"/>
      <c r="H79" s="1087"/>
      <c r="I79" s="788"/>
      <c r="J79" s="1087"/>
      <c r="K79" s="353" t="s">
        <v>916</v>
      </c>
      <c r="X79" s="822">
        <v>0</v>
      </c>
    </row>
    <row s="5468" customFormat="1" customHeight="1" ht="11.25" hidden="1">
      <c r="A80" s="2456"/>
      <c r="B80" s="575"/>
      <c r="D80" s="729" t="s">
        <v>328</v>
      </c>
      <c r="E80" s="787" t="s">
        <v>917</v>
      </c>
      <c r="F80" s="724" t="s">
        <v>862</v>
      </c>
      <c r="G80" s="788"/>
      <c r="H80" s="1087"/>
      <c r="I80" s="788"/>
      <c r="J80" s="1087"/>
      <c r="K80" s="353"/>
      <c r="X80" s="822">
        <v>0</v>
      </c>
    </row>
    <row s="5468" customFormat="1" customHeight="1" ht="11.25" hidden="1">
      <c r="A81" s="2456"/>
      <c r="B81" s="575"/>
      <c r="D81" s="729" t="s">
        <v>336</v>
      </c>
      <c r="E81" s="787" t="s">
        <v>918</v>
      </c>
      <c r="F81" s="724" t="s">
        <v>862</v>
      </c>
      <c r="G81" s="788"/>
      <c r="H81" s="1087"/>
      <c r="I81" s="788"/>
      <c r="J81" s="1087"/>
      <c r="K81" s="353"/>
      <c r="X81" s="822">
        <v>0</v>
      </c>
    </row>
    <row s="5468" customFormat="1" customHeight="1" ht="11.25" hidden="1">
      <c r="A82" s="2456"/>
      <c r="B82" s="575"/>
      <c r="D82" s="729" t="s">
        <v>338</v>
      </c>
      <c r="E82" s="787" t="s">
        <v>919</v>
      </c>
      <c r="F82" s="724" t="s">
        <v>862</v>
      </c>
      <c r="G82" s="788"/>
      <c r="H82" s="1087"/>
      <c r="I82" s="788"/>
      <c r="J82" s="1087"/>
      <c r="K82" s="353"/>
      <c r="X82" s="822">
        <v>0</v>
      </c>
    </row>
    <row s="5468" customFormat="1" customHeight="1" ht="11.25" hidden="1">
      <c r="A83" s="2456"/>
      <c r="B83" s="575"/>
      <c r="D83" s="729" t="s">
        <v>340</v>
      </c>
      <c r="E83" s="787" t="s">
        <v>920</v>
      </c>
      <c r="F83" s="724" t="s">
        <v>862</v>
      </c>
      <c r="G83" s="788"/>
      <c r="H83" s="1087"/>
      <c r="I83" s="788"/>
      <c r="J83" s="1087"/>
      <c r="K83" s="353"/>
      <c r="X83" s="822">
        <v>0</v>
      </c>
    </row>
    <row s="5468" customFormat="1" customHeight="1" ht="11.25" hidden="1">
      <c r="A84" s="2456"/>
      <c r="B84" s="575"/>
      <c r="D84" s="729" t="s">
        <v>921</v>
      </c>
      <c r="E84" s="787" t="s">
        <v>922</v>
      </c>
      <c r="F84" s="724" t="s">
        <v>862</v>
      </c>
      <c r="G84" s="788"/>
      <c r="H84" s="1087"/>
      <c r="I84" s="788"/>
      <c r="J84" s="1087"/>
      <c r="K84" s="353"/>
      <c r="X84" s="822">
        <v>0</v>
      </c>
    </row>
    <row s="5468" customFormat="1" customHeight="1" ht="11.25" hidden="1">
      <c r="A85" s="2456"/>
      <c r="B85" s="575"/>
      <c r="D85" s="729" t="s">
        <v>923</v>
      </c>
      <c r="E85" s="787" t="s">
        <v>924</v>
      </c>
      <c r="F85" s="724" t="s">
        <v>862</v>
      </c>
      <c r="G85" s="788"/>
      <c r="H85" s="1087"/>
      <c r="I85" s="788"/>
      <c r="J85" s="1087"/>
      <c r="K85" s="353"/>
      <c r="X85" s="822">
        <v>0</v>
      </c>
    </row>
    <row s="5468" customFormat="1" customHeight="1" ht="11.25" hidden="1">
      <c r="A86" s="2456"/>
      <c r="B86" s="575"/>
      <c r="D86" s="729" t="s">
        <v>925</v>
      </c>
      <c r="E86" s="787" t="s">
        <v>926</v>
      </c>
      <c r="F86" s="724" t="s">
        <v>862</v>
      </c>
      <c r="G86" s="788"/>
      <c r="H86" s="1087"/>
      <c r="I86" s="788"/>
      <c r="J86" s="1087"/>
      <c r="K86" s="353"/>
      <c r="X86" s="822">
        <v>0</v>
      </c>
    </row>
    <row s="5468" customFormat="1" customHeight="1" ht="45" hidden="1">
      <c r="A87" s="2456"/>
      <c r="B87" s="575"/>
      <c r="D87" s="729" t="s">
        <v>92</v>
      </c>
      <c r="E87" s="730" t="s">
        <v>927</v>
      </c>
      <c r="F87" s="724" t="s">
        <v>862</v>
      </c>
      <c r="G87" s="788"/>
      <c r="H87" s="1087"/>
      <c r="I87" s="788"/>
      <c r="J87" s="1087"/>
      <c r="K87" s="353" t="s">
        <v>928</v>
      </c>
      <c r="X87" s="822">
        <v>0</v>
      </c>
    </row>
    <row s="5468" customFormat="1" customHeight="1" ht="11.25" hidden="1">
      <c r="A88" s="2456"/>
      <c r="B88" s="575"/>
      <c r="D88" s="729" t="s">
        <v>757</v>
      </c>
      <c r="E88" s="787" t="s">
        <v>917</v>
      </c>
      <c r="F88" s="724" t="s">
        <v>862</v>
      </c>
      <c r="G88" s="788"/>
      <c r="H88" s="1087"/>
      <c r="I88" s="788"/>
      <c r="J88" s="1087"/>
      <c r="K88" s="353"/>
      <c r="X88" s="822">
        <v>0</v>
      </c>
    </row>
    <row s="5468" customFormat="1" customHeight="1" ht="11.25" hidden="1">
      <c r="A89" s="2456"/>
      <c r="B89" s="575"/>
      <c r="D89" s="729" t="s">
        <v>799</v>
      </c>
      <c r="E89" s="787" t="s">
        <v>918</v>
      </c>
      <c r="F89" s="724" t="s">
        <v>862</v>
      </c>
      <c r="G89" s="788"/>
      <c r="H89" s="1087"/>
      <c r="I89" s="788"/>
      <c r="J89" s="1087"/>
      <c r="K89" s="353"/>
      <c r="X89" s="822">
        <v>0</v>
      </c>
    </row>
    <row s="5468" customFormat="1" customHeight="1" ht="11.25" hidden="1">
      <c r="A90" s="2456"/>
      <c r="B90" s="575"/>
      <c r="D90" s="729" t="s">
        <v>802</v>
      </c>
      <c r="E90" s="787" t="s">
        <v>919</v>
      </c>
      <c r="F90" s="724" t="s">
        <v>862</v>
      </c>
      <c r="G90" s="788"/>
      <c r="H90" s="1087"/>
      <c r="I90" s="788"/>
      <c r="J90" s="1087"/>
      <c r="K90" s="353"/>
      <c r="X90" s="822">
        <v>0</v>
      </c>
    </row>
    <row s="5468" customFormat="1" customHeight="1" ht="11.25" hidden="1">
      <c r="A91" s="2456"/>
      <c r="B91" s="575"/>
      <c r="D91" s="729" t="s">
        <v>880</v>
      </c>
      <c r="E91" s="787" t="s">
        <v>920</v>
      </c>
      <c r="F91" s="724" t="s">
        <v>862</v>
      </c>
      <c r="G91" s="788"/>
      <c r="H91" s="1087"/>
      <c r="I91" s="788"/>
      <c r="J91" s="1087"/>
      <c r="K91" s="353"/>
      <c r="X91" s="822">
        <v>0</v>
      </c>
    </row>
    <row s="5468" customFormat="1" customHeight="1" ht="11.25" hidden="1">
      <c r="A92" s="2456"/>
      <c r="B92" s="575"/>
      <c r="D92" s="729" t="s">
        <v>882</v>
      </c>
      <c r="E92" s="787" t="s">
        <v>922</v>
      </c>
      <c r="F92" s="724" t="s">
        <v>862</v>
      </c>
      <c r="G92" s="788"/>
      <c r="H92" s="1087"/>
      <c r="I92" s="788"/>
      <c r="J92" s="1087"/>
      <c r="K92" s="353"/>
      <c r="X92" s="822">
        <v>0</v>
      </c>
    </row>
    <row s="5468" customFormat="1" customHeight="1" ht="11.25" hidden="1">
      <c r="A93" s="2456"/>
      <c r="B93" s="575"/>
      <c r="D93" s="729" t="s">
        <v>929</v>
      </c>
      <c r="E93" s="787" t="s">
        <v>924</v>
      </c>
      <c r="F93" s="724" t="s">
        <v>862</v>
      </c>
      <c r="G93" s="788"/>
      <c r="H93" s="1087"/>
      <c r="I93" s="788"/>
      <c r="J93" s="1087"/>
      <c r="K93" s="353"/>
      <c r="X93" s="822">
        <v>0</v>
      </c>
    </row>
    <row s="5468" customFormat="1" customHeight="1" ht="11.25" hidden="1">
      <c r="A94" s="2456"/>
      <c r="B94" s="575"/>
      <c r="D94" s="729" t="s">
        <v>930</v>
      </c>
      <c r="E94" s="787" t="s">
        <v>926</v>
      </c>
      <c r="F94" s="724" t="s">
        <v>862</v>
      </c>
      <c r="G94" s="788"/>
      <c r="H94" s="1087"/>
      <c r="I94" s="788"/>
      <c r="J94" s="1087"/>
      <c r="K94" s="353"/>
      <c r="X94" s="822">
        <v>0</v>
      </c>
    </row>
    <row s="5468" customFormat="1" customHeight="1" ht="24.75" hidden="1">
      <c r="A95" s="2456"/>
      <c r="B95" s="575"/>
      <c r="D95" s="729" t="s">
        <v>112</v>
      </c>
      <c r="E95" s="730" t="s">
        <v>931</v>
      </c>
      <c r="F95" s="789" t="s">
        <v>562</v>
      </c>
      <c r="G95" s="791"/>
      <c r="H95" s="1087"/>
      <c r="I95" s="791"/>
      <c r="J95" s="1087"/>
      <c r="K95" s="353" t="s">
        <v>932</v>
      </c>
      <c r="X95" s="822">
        <v>0</v>
      </c>
    </row>
    <row s="5468" customFormat="1" customHeight="1" ht="33.75" hidden="1">
      <c r="A96" s="2456"/>
      <c r="B96" s="575"/>
      <c r="D96" s="729" t="s">
        <v>93</v>
      </c>
      <c r="E96" s="730" t="s">
        <v>933</v>
      </c>
      <c r="F96" s="790" t="s">
        <v>823</v>
      </c>
      <c r="G96" s="792"/>
      <c r="H96" s="1087"/>
      <c r="I96" s="792"/>
      <c r="J96" s="1087"/>
      <c r="K96" s="353"/>
      <c r="X96" s="822">
        <v>0</v>
      </c>
    </row>
    <row s="5468" customFormat="1" customHeight="1" ht="22.5" hidden="1">
      <c r="A97" s="2456"/>
      <c r="B97" s="575" t="s">
        <v>592</v>
      </c>
      <c r="D97" s="729" t="s">
        <v>94</v>
      </c>
      <c r="E97" s="730" t="s">
        <v>934</v>
      </c>
      <c r="F97" s="790" t="s">
        <v>310</v>
      </c>
      <c r="G97" s="449"/>
      <c r="H97" s="1087"/>
      <c r="I97" s="449"/>
      <c r="J97" s="1087"/>
      <c r="K97" s="353" t="s">
        <v>635</v>
      </c>
      <c r="X97" s="822">
        <v>0</v>
      </c>
    </row>
    <row s="5468" customFormat="1" customHeight="1" ht="45" hidden="1">
      <c r="A98" s="2456"/>
      <c r="B98" s="575" t="s">
        <v>592</v>
      </c>
      <c r="D98" s="729" t="s">
        <v>935</v>
      </c>
      <c r="E98" s="731" t="s">
        <v>936</v>
      </c>
      <c r="F98" s="785" t="s">
        <v>310</v>
      </c>
      <c r="G98" s="449"/>
      <c r="H98" s="1087"/>
      <c r="I98" s="449"/>
      <c r="J98" s="1087"/>
      <c r="K98" s="353" t="s">
        <v>635</v>
      </c>
      <c r="X98" s="822">
        <v>0</v>
      </c>
    </row>
    <row s="5468" customFormat="1" customHeight="1" ht="95.25" hidden="1">
      <c r="A99" s="2456"/>
      <c r="B99" s="575" t="s">
        <v>592</v>
      </c>
      <c r="D99" s="729" t="s">
        <v>113</v>
      </c>
      <c r="E99" s="730" t="s">
        <v>937</v>
      </c>
      <c r="F99" s="785" t="s">
        <v>310</v>
      </c>
      <c r="G99" s="449"/>
      <c r="H99" s="1087"/>
      <c r="I99" s="449"/>
      <c r="J99" s="1087"/>
      <c r="K99" s="353" t="s">
        <v>635</v>
      </c>
      <c r="X99" s="822">
        <v>0</v>
      </c>
    </row>
    <row s="5468" customFormat="1" customHeight="1" ht="22.5" hidden="1">
      <c r="A100" s="2456"/>
      <c r="B100" s="575" t="s">
        <v>592</v>
      </c>
      <c r="D100" s="729" t="s">
        <v>149</v>
      </c>
      <c r="E100" s="730" t="s">
        <v>938</v>
      </c>
      <c r="F100" s="785" t="s">
        <v>310</v>
      </c>
      <c r="G100" s="449"/>
      <c r="H100" s="1087"/>
      <c r="I100" s="449"/>
      <c r="J100" s="1087"/>
      <c r="K100" s="353" t="s">
        <v>635</v>
      </c>
      <c r="X100" s="822">
        <v>0</v>
      </c>
    </row>
    <row s="5468" customFormat="1" customHeight="1" ht="11.549999999999999">
      <c r="A101" s="1097"/>
      <c r="B101" s="582"/>
      <c r="D101" s="1098"/>
      <c r="E101" s="1099"/>
      <c r="X101" s="573">
        <v>11</v>
      </c>
    </row>
    <row customHeight="1" ht="22.5" hidden="1">
      <c r="A102" s="600" t="s">
        <v>83</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971CE-7F2C-CF9F-C843-0.9E5D456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6011" width="6.421875" hidden="1" customWidth="1"/>
    <col min="2" max="2" style="6011" width="2.00390625" hidden="1" customWidth="1"/>
    <col min="3" max="3" style="6011" width="3.00390625" customWidth="1"/>
    <col min="4" max="4" style="6011" width="4.00390625" customWidth="1"/>
    <col min="5" max="5" style="6011" width="44.00390625" customWidth="1"/>
    <col min="6" max="6" style="6011" width="6.421875" customWidth="1"/>
    <col min="7" max="7" style="6011" width="4.00390625" customWidth="1"/>
    <col min="8" max="8" style="6011" width="5.00390625" customWidth="1"/>
    <col min="9" max="9" style="6011" width="52.00390625" customWidth="1"/>
    <col min="10" max="10" style="6011" width="7.00390625" customWidth="1"/>
    <col min="11" max="11" style="6011" width="3.00390625" customWidth="1"/>
    <col min="12" max="12" style="6011" width="6.00390625" customWidth="1"/>
    <col min="13" max="13" style="6011" width="56.00390625" customWidth="1"/>
    <col min="14" max="14" style="4221" width="8.00390625" customWidth="1"/>
    <col min="15" max="20" style="5419" width="9.140625" hidden="1"/>
    <col min="21" max="24" style="5544" width="9.140625" hidden="1"/>
    <col min="25" max="37" style="4221" width="9.140625" hidden="1"/>
    <col min="38" max="38" style="4221" width="8.00390625" customWidth="1"/>
    <col min="39" max="39" style="601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Показатели, подлежащие раскрытию в сфере горячего водоснабжения (цены и тарифы)</v>
      </c>
      <c r="E4" s="2184"/>
      <c r="F4" s="2184"/>
      <c r="G4" s="2184"/>
      <c r="H4" s="2184"/>
      <c r="I4" s="2185"/>
      <c r="J4" s="648"/>
      <c r="K4" s="648"/>
      <c r="L4" s="648"/>
      <c r="M4" s="648"/>
      <c r="AM4" s="647">
        <v>34</v>
      </c>
    </row>
    <row s="3054" customFormat="1" customHeight="1" ht="14.699999999999998">
      <c r="A5" s="649"/>
      <c r="B5" s="649"/>
      <c r="C5" s="649"/>
      <c r="D5" s="2186" t="str">
        <f>IF(org=0,"Не определено",org)</f>
        <v>Нарьян-Марское МУ ПОКиТС</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4"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4"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106</v>
      </c>
      <c r="E9" s="2191"/>
      <c r="F9" s="2192" t="s">
        <v>107</v>
      </c>
      <c r="G9" s="2193"/>
      <c r="H9" s="2193"/>
      <c r="I9" s="2193"/>
      <c r="J9" s="2196" t="s">
        <v>108</v>
      </c>
      <c r="K9" s="2196"/>
      <c r="L9" s="2196"/>
      <c r="M9" s="2196"/>
      <c r="AM9" s="647">
        <v>18</v>
      </c>
    </row>
    <row customHeight="1" ht="24">
      <c r="A10" s="2190"/>
      <c r="B10" s="656"/>
      <c r="C10" s="589"/>
      <c r="D10" s="587" t="s">
        <v>89</v>
      </c>
      <c r="E10" s="587" t="s">
        <v>90</v>
      </c>
      <c r="F10" s="587" t="s">
        <v>109</v>
      </c>
      <c r="G10" s="2197" t="s">
        <v>89</v>
      </c>
      <c r="H10" s="2198"/>
      <c r="I10" s="587" t="s">
        <v>90</v>
      </c>
      <c r="J10" s="587" t="s">
        <v>109</v>
      </c>
      <c r="K10" s="2197" t="s">
        <v>89</v>
      </c>
      <c r="L10" s="2198"/>
      <c r="M10" s="587" t="s">
        <v>90</v>
      </c>
      <c r="N10" s="1691"/>
      <c r="AM10" s="647">
        <v>23</v>
      </c>
    </row>
    <row s="6011" customFormat="1" customHeight="1" ht="11.25" hidden="1">
      <c r="A11" s="657"/>
      <c r="B11" s="657"/>
      <c r="C11" s="657"/>
      <c r="D11" s="658" t="s">
        <v>110</v>
      </c>
      <c r="E11" s="658" t="s">
        <v>111</v>
      </c>
      <c r="F11" s="658" t="s">
        <v>91</v>
      </c>
      <c r="G11" s="2179" t="s">
        <v>92</v>
      </c>
      <c r="H11" s="2180"/>
      <c r="I11" s="658" t="s">
        <v>112</v>
      </c>
      <c r="J11" s="658" t="s">
        <v>93</v>
      </c>
      <c r="K11" s="2181" t="s">
        <v>94</v>
      </c>
      <c r="L11" s="2182"/>
      <c r="M11" s="658" t="s">
        <v>113</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114</v>
      </c>
      <c r="P12" s="1477" t="s">
        <v>115</v>
      </c>
      <c r="Q12" s="1477" t="s">
        <v>116</v>
      </c>
      <c r="R12" s="1477" t="s">
        <v>117</v>
      </c>
      <c r="AM12" s="647">
        <v>1</v>
      </c>
    </row>
    <row s="6011" customFormat="1" customHeight="1" ht="15.75">
      <c r="A13" s="357"/>
      <c r="B13" s="357"/>
      <c r="C13" s="590"/>
      <c r="D13" s="2172" t="s">
        <v>110</v>
      </c>
      <c r="E13" s="2173"/>
      <c r="F13" s="2176" t="s">
        <v>62</v>
      </c>
      <c r="G13" s="2177"/>
      <c r="H13" s="2178">
        <v>1</v>
      </c>
      <c r="I13" s="2169" t="str">
        <f>IF(U13="","",INDEX(TERRITORY_MR_LIST,MATCH(U13,TERRITORY_LIST_ID,0)))</f>
        <v/>
      </c>
      <c r="J13" s="2171" t="s">
        <v>19</v>
      </c>
      <c r="K13" s="666"/>
      <c r="L13" s="591" t="s">
        <v>110</v>
      </c>
      <c r="M13" s="667" t="s">
        <v>28</v>
      </c>
      <c r="N13" s="876"/>
      <c r="O13" s="1480" t="s">
        <v>118</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119</v>
      </c>
      <c r="Z13" s="668">
        <v>1705000</v>
      </c>
      <c r="AA13" s="668"/>
      <c r="AB13" s="668"/>
      <c r="AC13" s="668"/>
      <c r="AD13" s="668"/>
      <c r="AE13" s="668"/>
      <c r="AF13" s="668"/>
      <c r="AG13" s="668"/>
      <c r="AH13" s="668"/>
      <c r="AI13" s="668"/>
      <c r="AJ13" s="668"/>
      <c r="AK13" s="668"/>
      <c r="AL13" s="668"/>
      <c r="AM13" s="670">
        <v>15</v>
      </c>
    </row>
    <row s="6011" customFormat="1" customHeight="1" ht="15.75">
      <c r="A14" s="357"/>
      <c r="B14" s="357"/>
      <c r="C14" s="240"/>
      <c r="D14" s="2172"/>
      <c r="E14" s="2174"/>
      <c r="F14" s="2171"/>
      <c r="G14" s="2177"/>
      <c r="H14" s="2178"/>
      <c r="I14" s="2170"/>
      <c r="J14" s="2171"/>
      <c r="K14" s="485"/>
      <c r="L14" s="241"/>
      <c r="M14" s="671" t="s">
        <v>120</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6011" customFormat="1" customHeight="1" ht="15.75">
      <c r="A15" s="357"/>
      <c r="B15" s="357"/>
      <c r="C15" s="240"/>
      <c r="D15" s="2172"/>
      <c r="E15" s="2175"/>
      <c r="F15" s="2171"/>
      <c r="G15" s="1124"/>
      <c r="H15" s="1125"/>
      <c r="I15" s="644" t="s">
        <v>121</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122</v>
      </c>
      <c r="F16" s="241"/>
      <c r="G16" s="241"/>
      <c r="H16" s="241"/>
      <c r="I16" s="241"/>
      <c r="J16" s="241"/>
      <c r="K16" s="241" t="s">
        <v>28</v>
      </c>
      <c r="L16" s="241"/>
      <c r="M16" s="672"/>
      <c r="N16" s="1691"/>
      <c r="AM16" s="647">
        <v>15</v>
      </c>
    </row>
    <row customHeight="1" ht="11.25" hidden="1">
      <c r="A17" s="647" t="s">
        <v>83</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CA0DD-B416-411B-A0CB-0.1AF396D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712" width="9.140625" hidden="1" customWidth="1"/>
    <col min="2" max="2" style="5468" width="9.140625" hidden="1" customWidth="1"/>
    <col min="3" max="3" style="5379" width="4.00390625" customWidth="1"/>
    <col min="4" max="4" style="5468" width="6.00390625" customWidth="1"/>
    <col min="5" max="5" style="5468" width="36.00390625" customWidth="1"/>
    <col min="6" max="6" style="5468" width="9.00390625" customWidth="1"/>
    <col min="7" max="7" style="5468" width="25.7109375" hidden="1" customWidth="1"/>
    <col min="8" max="8" style="5468" width="33.7109375" hidden="1" customWidth="1"/>
    <col min="9" max="9" style="5468" width="25.7109375" customWidth="1"/>
    <col min="10" max="10" style="5468" width="33.00390625" customWidth="1"/>
    <col min="11" max="11" style="5416" width="93.00390625" customWidth="1"/>
    <col min="12" max="20" style="5468" width="10.00390625" customWidth="1"/>
    <col min="21" max="21" style="5502" width="10.00390625" customWidth="1"/>
    <col min="22" max="22" style="5468" width="10.57421875" hidden="1"/>
  </cols>
  <sheetData>
    <row s="5416" customFormat="1" customHeight="1" ht="22.5" hidden="1">
      <c r="C1" s="736"/>
      <c r="G1" s="481">
        <v>4</v>
      </c>
      <c r="I1" s="481">
        <v>4</v>
      </c>
      <c r="U1" s="484"/>
      <c r="V1" s="481" t="s">
        <v>14</v>
      </c>
    </row>
    <row s="5416" customFormat="1" customHeight="1" ht="15" hidden="1">
      <c r="C2" s="736"/>
      <c r="U2" s="484"/>
      <c r="V2" s="481">
        <v>0</v>
      </c>
    </row>
    <row customHeight="1" ht="22.5" hidden="1">
      <c r="A3" s="569"/>
      <c r="B3" s="2461"/>
      <c r="C3" s="2462" t="s">
        <v>533</v>
      </c>
      <c r="D3" s="753" t="str">
        <f>B3&amp;".1"</f>
        <v>.1</v>
      </c>
      <c r="E3" s="754" t="s">
        <v>939</v>
      </c>
      <c r="F3" s="755" t="s">
        <v>310</v>
      </c>
      <c r="G3" s="750"/>
      <c r="H3" s="465"/>
      <c r="I3" s="750"/>
      <c r="J3" s="465"/>
      <c r="K3" s="353" t="s">
        <v>940</v>
      </c>
      <c r="V3" s="569">
        <v>0</v>
      </c>
    </row>
    <row customHeight="1" ht="15" hidden="1">
      <c r="A4" s="569"/>
      <c r="B4" s="2461"/>
      <c r="C4" s="2462"/>
      <c r="D4" s="753" t="str">
        <f>B3&amp;".2"</f>
        <v>.2</v>
      </c>
      <c r="E4" s="754" t="s">
        <v>941</v>
      </c>
      <c r="F4" s="755" t="s">
        <v>310</v>
      </c>
      <c r="G4" s="1802" t="s">
        <v>28</v>
      </c>
      <c r="H4" s="465"/>
      <c r="I4" s="1802" t="s">
        <v>28</v>
      </c>
      <c r="J4" s="465"/>
      <c r="K4" s="353" t="s">
        <v>942</v>
      </c>
      <c r="V4" s="569">
        <v>0</v>
      </c>
    </row>
    <row s="5416" customFormat="1" customHeight="1" ht="15" hidden="1">
      <c r="C5" s="736"/>
      <c r="U5" s="484"/>
      <c r="V5" s="481">
        <v>0</v>
      </c>
    </row>
    <row customHeight="1" ht="22.5" hidden="1">
      <c r="A6" s="569"/>
      <c r="B6" s="2461"/>
      <c r="C6" s="2462" t="s">
        <v>533</v>
      </c>
      <c r="D6" s="753" t="str">
        <f>B6&amp;".1"</f>
        <v>.1</v>
      </c>
      <c r="E6" s="754" t="s">
        <v>943</v>
      </c>
      <c r="F6" s="755" t="s">
        <v>310</v>
      </c>
      <c r="G6" s="750"/>
      <c r="H6" s="465"/>
      <c r="I6" s="750"/>
      <c r="J6" s="465"/>
      <c r="K6" s="353" t="s">
        <v>944</v>
      </c>
      <c r="V6" s="569">
        <v>0</v>
      </c>
    </row>
    <row customHeight="1" ht="15" hidden="1">
      <c r="A7" s="569"/>
      <c r="B7" s="2461"/>
      <c r="C7" s="2462"/>
      <c r="D7" s="753" t="str">
        <f>B6&amp;".2"</f>
        <v>.2</v>
      </c>
      <c r="E7" s="754" t="s">
        <v>941</v>
      </c>
      <c r="F7" s="755" t="s">
        <v>310</v>
      </c>
      <c r="G7" s="1802" t="s">
        <v>28</v>
      </c>
      <c r="H7" s="465"/>
      <c r="I7" s="1802" t="s">
        <v>28</v>
      </c>
      <c r="J7" s="465"/>
      <c r="K7" s="353" t="s">
        <v>942</v>
      </c>
      <c r="V7" s="569">
        <v>0</v>
      </c>
    </row>
    <row s="5416" customFormat="1" customHeight="1" ht="15" hidden="1">
      <c r="C8" s="736"/>
      <c r="U8" s="484"/>
      <c r="V8" s="481">
        <v>0</v>
      </c>
    </row>
    <row customHeight="1" ht="22.5" hidden="1">
      <c r="A9" s="569"/>
      <c r="B9" s="2461"/>
      <c r="C9" s="2462" t="s">
        <v>533</v>
      </c>
      <c r="D9" s="753" t="str">
        <f>B9&amp;".1"</f>
        <v>.1</v>
      </c>
      <c r="E9" s="754" t="s">
        <v>945</v>
      </c>
      <c r="F9" s="755" t="s">
        <v>310</v>
      </c>
      <c r="G9" s="761" t="s">
        <v>28</v>
      </c>
      <c r="H9" s="465" t="s">
        <v>28</v>
      </c>
      <c r="I9" s="761" t="s">
        <v>28</v>
      </c>
      <c r="J9" s="465" t="s">
        <v>28</v>
      </c>
      <c r="K9" s="353"/>
      <c r="V9" s="569">
        <v>0</v>
      </c>
    </row>
    <row customHeight="1" ht="15" hidden="1">
      <c r="A10" s="569"/>
      <c r="B10" s="2461"/>
      <c r="C10" s="2462"/>
      <c r="D10" s="753" t="str">
        <f>B9&amp;".2"</f>
        <v>.2</v>
      </c>
      <c r="E10" s="754" t="s">
        <v>946</v>
      </c>
      <c r="F10" s="755" t="s">
        <v>310</v>
      </c>
      <c r="G10" s="1796" t="s">
        <v>28</v>
      </c>
      <c r="H10" s="465" t="s">
        <v>28</v>
      </c>
      <c r="I10" s="1796" t="s">
        <v>28</v>
      </c>
      <c r="J10" s="465" t="s">
        <v>28</v>
      </c>
      <c r="K10" s="353" t="s">
        <v>947</v>
      </c>
      <c r="V10" s="569">
        <v>0</v>
      </c>
    </row>
    <row customHeight="1" ht="15" hidden="1">
      <c r="A11" s="569"/>
      <c r="B11" s="2461"/>
      <c r="C11" s="2462"/>
      <c r="D11" s="753" t="str">
        <f>B9&amp;".3"</f>
        <v>.3</v>
      </c>
      <c r="E11" s="754" t="s">
        <v>948</v>
      </c>
      <c r="F11" s="755" t="s">
        <v>310</v>
      </c>
      <c r="G11" s="1796" t="s">
        <v>28</v>
      </c>
      <c r="H11" s="465" t="s">
        <v>28</v>
      </c>
      <c r="I11" s="1796" t="s">
        <v>28</v>
      </c>
      <c r="J11" s="465" t="s">
        <v>28</v>
      </c>
      <c r="K11" s="353" t="s">
        <v>949</v>
      </c>
      <c r="V11" s="569">
        <v>0</v>
      </c>
    </row>
    <row s="5416" customFormat="1" customHeight="1" ht="15" hidden="1">
      <c r="C12" s="736"/>
      <c r="U12" s="484"/>
      <c r="V12" s="481">
        <v>0</v>
      </c>
    </row>
    <row customHeight="1" ht="33.75" hidden="1">
      <c r="A13" s="569"/>
      <c r="B13" s="2461"/>
      <c r="C13" s="2462" t="s">
        <v>533</v>
      </c>
      <c r="D13" s="753" t="str">
        <f>B13&amp;".1"</f>
        <v>.1</v>
      </c>
      <c r="E13" s="754" t="s">
        <v>950</v>
      </c>
      <c r="F13" s="755" t="s">
        <v>310</v>
      </c>
      <c r="G13" s="761" t="s">
        <v>28</v>
      </c>
      <c r="H13" s="465" t="s">
        <v>28</v>
      </c>
      <c r="I13" s="761" t="s">
        <v>28</v>
      </c>
      <c r="J13" s="465" t="s">
        <v>28</v>
      </c>
      <c r="K13" s="353" t="s">
        <v>951</v>
      </c>
      <c r="V13" s="569">
        <v>0</v>
      </c>
    </row>
    <row customHeight="1" ht="15" hidden="1">
      <c r="B14" s="2461"/>
      <c r="C14" s="2462"/>
      <c r="D14" s="753" t="str">
        <f>B13&amp;".2"</f>
        <v>.2</v>
      </c>
      <c r="E14" s="754" t="s">
        <v>952</v>
      </c>
      <c r="F14" s="755" t="s">
        <v>310</v>
      </c>
      <c r="G14" s="1796" t="s">
        <v>28</v>
      </c>
      <c r="H14" s="465" t="s">
        <v>28</v>
      </c>
      <c r="I14" s="1796" t="s">
        <v>28</v>
      </c>
      <c r="J14" s="465" t="s">
        <v>28</v>
      </c>
      <c r="K14" s="353" t="s">
        <v>953</v>
      </c>
      <c r="V14" s="569">
        <v>0</v>
      </c>
    </row>
    <row s="5416" customFormat="1" customHeight="1" ht="15" hidden="1">
      <c r="C15" s="736"/>
      <c r="U15" s="484"/>
      <c r="V15" s="481">
        <v>0</v>
      </c>
    </row>
    <row s="5416" customFormat="1" customHeight="1" ht="15" hidden="1">
      <c r="C16" s="736"/>
      <c r="U16" s="484"/>
      <c r="V16" s="481">
        <v>0</v>
      </c>
    </row>
    <row s="5416" customFormat="1" customHeight="1" ht="15" hidden="1">
      <c r="C17" s="736"/>
      <c r="U17" s="484"/>
      <c r="V17" s="481">
        <v>0</v>
      </c>
    </row>
    <row s="5416" customFormat="1" customHeight="1" ht="15" hidden="1">
      <c r="C18" s="736"/>
      <c r="U18" s="484"/>
      <c r="V18" s="481">
        <v>0</v>
      </c>
    </row>
    <row s="5416" customFormat="1" customHeight="1" ht="15" hidden="1">
      <c r="C19" s="736"/>
      <c r="U19" s="484"/>
      <c r="V19" s="481">
        <v>0</v>
      </c>
    </row>
    <row s="5416"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Нарьян-Марское МУ ПОКиТС</v>
      </c>
      <c r="E23" s="2240"/>
      <c r="F23" s="2240"/>
      <c r="G23" s="2240"/>
      <c r="H23" s="2240"/>
      <c r="I23" s="2240"/>
      <c r="J23" s="740"/>
      <c r="K23" s="601"/>
      <c r="V23" s="569">
        <v>15</v>
      </c>
    </row>
    <row customHeight="1" ht="15.75">
      <c r="C24" s="240"/>
      <c r="D24" s="573"/>
      <c r="E24" s="573"/>
      <c r="F24" s="573"/>
      <c r="G24" s="601">
        <v>22</v>
      </c>
      <c r="H24" s="816"/>
      <c r="I24" s="601">
        <v>22</v>
      </c>
      <c r="J24" s="816"/>
      <c r="V24" s="569">
        <v>15</v>
      </c>
    </row>
    <row s="5468" customFormat="1" customHeight="1" ht="1.05">
      <c r="A25" s="823"/>
      <c r="C25" s="240"/>
      <c r="D25" s="573"/>
      <c r="E25" s="573"/>
      <c r="F25" s="573"/>
      <c r="G25" s="601"/>
      <c r="H25" s="816"/>
      <c r="I25" s="601" t="s">
        <v>118</v>
      </c>
      <c r="J25" s="816"/>
      <c r="K25" s="481"/>
      <c r="U25" s="739"/>
      <c r="V25" s="822">
        <v>1</v>
      </c>
    </row>
    <row customHeight="1" ht="15.75">
      <c r="C26" s="240"/>
      <c r="D26" s="775"/>
      <c r="E26" s="2431" t="s">
        <v>106</v>
      </c>
      <c r="F26" s="2432"/>
      <c r="G26" s="2459" t="str">
        <f>IF(G25="","",INDEX(DIFFERENTIATION_UNMERGE_VD,MATCH(G25,DIFFERENTIATION_ID_DIFF,0)))</f>
        <v/>
      </c>
      <c r="H26" s="2460"/>
      <c r="I26" s="2459">
        <f>IF(I25="","",INDEX(DIFFERENTIATION_UNMERGE_VD,MATCH(I25,DIFFERENTIATION_ID_DIFF,0)))</f>
        <v>0</v>
      </c>
      <c r="J26" s="2460"/>
      <c r="K26" s="2239" t="s">
        <v>305</v>
      </c>
      <c r="V26" s="569">
        <v>15</v>
      </c>
    </row>
    <row s="5468" customFormat="1" customHeight="1" ht="15.75">
      <c r="A27" s="823"/>
      <c r="C27" s="240"/>
      <c r="D27" s="775"/>
      <c r="E27" s="2431" t="s">
        <v>568</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5468" customFormat="1" customHeight="1" ht="15.75">
      <c r="A28" s="823"/>
      <c r="C28" s="240"/>
      <c r="D28" s="775"/>
      <c r="E28" s="2431" t="s">
        <v>569</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5468" customFormat="1" customHeight="1" ht="15.75">
      <c r="A29" s="823"/>
      <c r="C29" s="240"/>
      <c r="D29" s="2433" t="s">
        <v>304</v>
      </c>
      <c r="E29" s="2434"/>
      <c r="F29" s="2434"/>
      <c r="G29" s="951"/>
      <c r="H29" s="951"/>
      <c r="I29" s="951"/>
      <c r="J29" s="952"/>
      <c r="K29" s="2259"/>
      <c r="U29" s="739"/>
      <c r="V29" s="822">
        <v>15</v>
      </c>
    </row>
    <row customHeight="1" ht="35.699999999999996">
      <c r="C30" s="240"/>
      <c r="D30" s="825" t="s">
        <v>89</v>
      </c>
      <c r="E30" s="824" t="s">
        <v>306</v>
      </c>
      <c r="F30" s="824" t="s">
        <v>570</v>
      </c>
      <c r="G30" s="872" t="s">
        <v>307</v>
      </c>
      <c r="H30" s="871" t="s">
        <v>394</v>
      </c>
      <c r="I30" s="748" t="s">
        <v>307</v>
      </c>
      <c r="J30" s="529" t="s">
        <v>394</v>
      </c>
      <c r="K30" s="2265"/>
      <c r="V30" s="569">
        <v>34</v>
      </c>
    </row>
    <row customHeight="1" ht="15" hidden="1">
      <c r="C31" s="240"/>
      <c r="D31" s="657"/>
      <c r="E31" s="657"/>
      <c r="F31" s="657"/>
      <c r="G31" s="723"/>
      <c r="H31" s="723"/>
      <c r="I31" s="723"/>
      <c r="J31" s="723"/>
      <c r="K31" s="353"/>
      <c r="V31" s="569">
        <v>0</v>
      </c>
    </row>
    <row customHeight="1" ht="24">
      <c r="A32" s="569"/>
      <c r="B32" s="569" t="s">
        <v>954</v>
      </c>
      <c r="C32" s="590"/>
      <c r="D32" s="756">
        <v>1</v>
      </c>
      <c r="E32" s="757" t="s">
        <v>955</v>
      </c>
      <c r="F32" s="755" t="s">
        <v>310</v>
      </c>
      <c r="G32" s="877" t="s">
        <v>310</v>
      </c>
      <c r="H32" s="877" t="s">
        <v>310</v>
      </c>
      <c r="I32" s="755" t="s">
        <v>310</v>
      </c>
      <c r="J32" s="755" t="s">
        <v>310</v>
      </c>
      <c r="K32" s="353"/>
      <c r="V32" s="569">
        <v>23</v>
      </c>
    </row>
    <row customHeight="1" ht="11.549999999999999">
      <c r="A33" s="569"/>
      <c r="C33" s="569"/>
      <c r="D33" s="411"/>
      <c r="E33" s="644" t="s">
        <v>590</v>
      </c>
      <c r="F33" s="636"/>
      <c r="G33" s="636"/>
      <c r="H33" s="636"/>
      <c r="I33" s="636"/>
      <c r="J33" s="636"/>
      <c r="K33" s="637"/>
      <c r="U33" s="569"/>
      <c r="V33" s="569">
        <v>11</v>
      </c>
    </row>
    <row customHeight="1" ht="24">
      <c r="A34" s="569"/>
      <c r="B34" s="645" t="s">
        <v>640</v>
      </c>
      <c r="C34" s="590"/>
      <c r="D34" s="756">
        <v>2</v>
      </c>
      <c r="E34" s="757" t="s">
        <v>956</v>
      </c>
      <c r="F34" s="884" t="s">
        <v>310</v>
      </c>
      <c r="G34" s="884" t="s">
        <v>310</v>
      </c>
      <c r="H34" s="884" t="s">
        <v>310</v>
      </c>
      <c r="I34" s="755"/>
      <c r="J34" s="755"/>
      <c r="K34" s="353"/>
      <c r="V34" s="569">
        <v>23</v>
      </c>
    </row>
    <row customHeight="1" ht="11.549999999999999">
      <c r="A35" s="569"/>
      <c r="C35" s="569"/>
      <c r="D35" s="411"/>
      <c r="E35" s="644" t="s">
        <v>957</v>
      </c>
      <c r="F35" s="636"/>
      <c r="G35" s="758"/>
      <c r="H35" s="636"/>
      <c r="I35" s="758"/>
      <c r="J35" s="636"/>
      <c r="K35" s="637"/>
      <c r="U35" s="569"/>
      <c r="V35" s="569">
        <v>11</v>
      </c>
    </row>
    <row customHeight="1" ht="71.25">
      <c r="A36" s="569"/>
      <c r="B36" s="569" t="s">
        <v>958</v>
      </c>
      <c r="C36" s="590"/>
      <c r="D36" s="756">
        <v>3</v>
      </c>
      <c r="E36" s="757" t="s">
        <v>959</v>
      </c>
      <c r="F36" s="759" t="s">
        <v>310</v>
      </c>
      <c r="G36" s="878" t="s">
        <v>960</v>
      </c>
      <c r="H36" s="877" t="s">
        <v>310</v>
      </c>
      <c r="I36" s="588" t="s">
        <v>960</v>
      </c>
      <c r="J36" s="755" t="s">
        <v>310</v>
      </c>
      <c r="K36" s="353" t="s">
        <v>961</v>
      </c>
      <c r="V36" s="569">
        <v>68</v>
      </c>
    </row>
    <row customHeight="1" ht="11.549999999999999">
      <c r="A37" s="569"/>
      <c r="C37" s="569"/>
      <c r="D37" s="411"/>
      <c r="E37" s="644" t="s">
        <v>962</v>
      </c>
      <c r="F37" s="636"/>
      <c r="G37" s="758"/>
      <c r="H37" s="758"/>
      <c r="I37" s="758"/>
      <c r="J37" s="758"/>
      <c r="K37" s="637"/>
      <c r="U37" s="569"/>
      <c r="V37" s="569">
        <v>11</v>
      </c>
    </row>
    <row customHeight="1" ht="71.25">
      <c r="A38" s="569"/>
      <c r="B38" s="569" t="s">
        <v>963</v>
      </c>
      <c r="C38" s="590"/>
      <c r="D38" s="756">
        <v>4</v>
      </c>
      <c r="E38" s="757" t="s">
        <v>964</v>
      </c>
      <c r="F38" s="759" t="s">
        <v>310</v>
      </c>
      <c r="G38" s="878" t="s">
        <v>960</v>
      </c>
      <c r="H38" s="879" t="s">
        <v>310</v>
      </c>
      <c r="I38" s="588" t="s">
        <v>960</v>
      </c>
      <c r="J38" s="585" t="s">
        <v>310</v>
      </c>
      <c r="K38" s="743" t="s">
        <v>965</v>
      </c>
      <c r="V38" s="569">
        <v>68</v>
      </c>
    </row>
    <row customHeight="1" ht="11.549999999999999">
      <c r="A39" s="569"/>
      <c r="C39" s="569"/>
      <c r="D39" s="411"/>
      <c r="E39" s="644" t="s">
        <v>966</v>
      </c>
      <c r="F39" s="636"/>
      <c r="G39" s="636"/>
      <c r="H39" s="760"/>
      <c r="I39" s="636"/>
      <c r="J39" s="760"/>
      <c r="K39" s="637"/>
      <c r="U39" s="569"/>
      <c r="V39" s="569">
        <v>11</v>
      </c>
    </row>
    <row customHeight="1" ht="22.5" hidden="1">
      <c r="A40" s="513" t="s">
        <v>83</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30E7D-1B03-E81A-93E9-0.4CEA26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5211" width="6.7109375" hidden="1" customWidth="1"/>
    <col min="4" max="4" style="5416" width="6.7109375" hidden="1" customWidth="1"/>
    <col min="5" max="5" style="5468" width="3.00390625" customWidth="1"/>
    <col min="6" max="6" style="5468" width="6.00390625" customWidth="1"/>
    <col min="7" max="7" style="5468" width="37.00390625" customWidth="1"/>
    <col min="8" max="8" style="5468" width="16.00390625" customWidth="1"/>
    <col min="9" max="10" style="5468" width="19.00390625" customWidth="1"/>
    <col min="11" max="11" style="5468" width="24.00390625" customWidth="1"/>
    <col min="12" max="13" style="5468" width="25.00390625" customWidth="1"/>
    <col min="14" max="16" style="5468" width="17.00390625" customWidth="1"/>
    <col min="17" max="24" style="5468" width="19.00390625" customWidth="1"/>
    <col min="25" max="25" style="5468" width="7.00390625" customWidth="1"/>
    <col min="26" max="26" style="5468" width="3.00390625" customWidth="1"/>
    <col min="27" max="27" style="5468" width="6.00390625" customWidth="1"/>
    <col min="28" max="28" style="5468" width="34.00390625" customWidth="1"/>
    <col min="29" max="30" style="5468" width="8.00390625" customWidth="1"/>
    <col min="31" max="31" style="5468" width="9.140625" hidden="1"/>
  </cols>
  <sheetData>
    <row s="5416" customFormat="1" customHeight="1" ht="10.5" hidden="1">
      <c r="A1" s="959"/>
      <c r="B1" s="959"/>
      <c r="C1" s="959"/>
      <c r="E1" s="601"/>
      <c r="H1" s="1224"/>
      <c r="AE1" s="481" t="s">
        <v>14</v>
      </c>
    </row>
    <row customHeight="1" ht="10.5" hidden="1">
      <c r="AE2" s="822">
        <v>0</v>
      </c>
    </row>
    <row s="5712" customFormat="1" customHeight="1" ht="10.5" hidden="1">
      <c r="A3" s="959"/>
      <c r="B3" s="959"/>
      <c r="C3" s="959"/>
      <c r="D3" s="481"/>
      <c r="E3" s="426"/>
      <c r="G3" s="1696" t="s">
        <v>967</v>
      </c>
      <c r="H3" s="1220"/>
      <c r="AE3" s="823">
        <v>0</v>
      </c>
    </row>
    <row customHeight="1" ht="3">
      <c r="AE4" s="822">
        <v>3</v>
      </c>
    </row>
    <row customHeight="1" ht="27.299999999999997">
      <c r="F5" s="2312" t="str">
        <f>IP_NAME_FORM</f>
        <v>Форма 7. Информация об инвестиционных программах организации горячего водоснабжения и отчетах об их исполнении</v>
      </c>
      <c r="G5" s="2312"/>
      <c r="H5" s="2312"/>
      <c r="I5" s="2312"/>
      <c r="J5" s="2312"/>
      <c r="K5" s="2312"/>
      <c r="M5" s="646"/>
      <c r="AB5" s="970"/>
      <c r="AE5" s="822">
        <v>26</v>
      </c>
    </row>
    <row s="5468" customFormat="1" customHeight="1" ht="16.8">
      <c r="A6" s="1230"/>
      <c r="B6" s="1230"/>
      <c r="C6" s="1230"/>
      <c r="D6" s="1224"/>
      <c r="E6" s="1699"/>
      <c r="F6" s="2313" t="str">
        <f>IF(org=0,"Не определено",org)</f>
        <v>Нарьян-Марское МУ ПОКиТС</v>
      </c>
      <c r="G6" s="2313"/>
      <c r="H6" s="2313"/>
      <c r="I6" s="2313"/>
      <c r="J6" s="2313"/>
      <c r="K6" s="2313"/>
      <c r="M6" s="646"/>
      <c r="AB6" s="1212"/>
      <c r="AE6" s="1695">
        <v>16</v>
      </c>
    </row>
    <row customHeight="1" ht="10.5">
      <c r="AE7" s="822">
        <v>10</v>
      </c>
    </row>
    <row customHeight="1" ht="10.5">
      <c r="A8" s="1115"/>
      <c r="B8" s="1115"/>
      <c r="C8" s="1115"/>
      <c r="F8" s="2165" t="s">
        <v>304</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89</v>
      </c>
      <c r="G9" s="2191" t="s">
        <v>967</v>
      </c>
      <c r="H9" s="2239" t="s">
        <v>968</v>
      </c>
      <c r="I9" s="2191" t="s">
        <v>969</v>
      </c>
      <c r="J9" s="2191" t="s">
        <v>970</v>
      </c>
      <c r="K9" s="2191" t="s">
        <v>971</v>
      </c>
      <c r="L9" s="2191" t="s">
        <v>972</v>
      </c>
      <c r="M9" s="2191" t="s">
        <v>973</v>
      </c>
      <c r="N9" s="2273" t="s">
        <v>974</v>
      </c>
      <c r="O9" s="2273"/>
      <c r="P9" s="2273"/>
      <c r="Q9" s="2463" t="s">
        <v>975</v>
      </c>
      <c r="R9" s="2464"/>
      <c r="S9" s="2464"/>
      <c r="T9" s="2465"/>
      <c r="U9" s="2463" t="s">
        <v>976</v>
      </c>
      <c r="V9" s="2464"/>
      <c r="W9" s="2464"/>
      <c r="X9" s="2465"/>
      <c r="Y9" s="2165" t="s">
        <v>977</v>
      </c>
      <c r="Z9" s="2166"/>
      <c r="AA9" s="2166"/>
      <c r="AB9" s="2167"/>
      <c r="AE9" s="822">
        <v>41</v>
      </c>
    </row>
    <row customHeight="1" ht="43.050000000000004">
      <c r="A10" s="969"/>
      <c r="B10" s="969"/>
      <c r="C10" s="969"/>
      <c r="F10" s="2239"/>
      <c r="G10" s="2239"/>
      <c r="H10" s="2296"/>
      <c r="I10" s="2239"/>
      <c r="J10" s="2239"/>
      <c r="K10" s="2239"/>
      <c r="L10" s="2239"/>
      <c r="M10" s="2239"/>
      <c r="N10" s="967" t="s">
        <v>978</v>
      </c>
      <c r="O10" s="967" t="s">
        <v>979</v>
      </c>
      <c r="P10" s="968" t="s">
        <v>980</v>
      </c>
      <c r="Q10" s="979" t="s">
        <v>90</v>
      </c>
      <c r="R10" s="979" t="s">
        <v>981</v>
      </c>
      <c r="S10" s="979" t="s">
        <v>982</v>
      </c>
      <c r="T10" s="980" t="s">
        <v>983</v>
      </c>
      <c r="U10" s="979" t="s">
        <v>90</v>
      </c>
      <c r="V10" s="979" t="s">
        <v>984</v>
      </c>
      <c r="W10" s="979" t="s">
        <v>982</v>
      </c>
      <c r="X10" s="980" t="s">
        <v>983</v>
      </c>
      <c r="Y10" s="365" t="s">
        <v>985</v>
      </c>
      <c r="Z10" s="2165" t="s">
        <v>89</v>
      </c>
      <c r="AA10" s="2167"/>
      <c r="AB10" s="1113" t="s">
        <v>986</v>
      </c>
      <c r="AE10" s="822">
        <v>41</v>
      </c>
    </row>
    <row s="4976" customFormat="1" customHeight="1" ht="5.25" hidden="1">
      <c r="A11" s="1116"/>
      <c r="B11" s="1116"/>
      <c r="C11" s="1116"/>
      <c r="E11" s="1114"/>
      <c r="F11" s="2470" t="s">
        <v>380</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987</v>
      </c>
      <c r="AE11" s="575">
        <v>0</v>
      </c>
    </row>
    <row s="4976"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988</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976" customFormat="1" customHeight="1" ht="10.5">
      <c r="A15" s="1231"/>
      <c r="B15" s="1231"/>
      <c r="C15" s="1231"/>
      <c r="E15" s="582"/>
      <c r="H15" s="575">
        <f>_xlfn.IFERROR(MATCH("нет",IP_MAIN_DIFFERENTIATION_EVENTS_FLAG,0),0)</f>
        <v>0</v>
      </c>
      <c r="AE15" s="575">
        <v>10</v>
      </c>
    </row>
    <row customHeight="1" ht="10.5" hidden="1">
      <c r="A16" s="959" t="s">
        <v>83</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5215A-590E-31A1-AD6F-0.93838C1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5211" width="4.140625" hidden="1" customWidth="1"/>
    <col min="4" max="4" style="5416" width="4.140625" hidden="1" customWidth="1"/>
    <col min="5" max="5" style="5468" width="3.00390625" customWidth="1"/>
    <col min="6" max="6" style="5468" width="14.00390625" customWidth="1"/>
    <col min="7" max="7" style="5468" width="3.00390625" customWidth="1"/>
    <col min="8" max="8" style="5468" width="7.00390625" customWidth="1"/>
    <col min="9" max="10" style="5468" width="16.00390625" customWidth="1"/>
    <col min="11" max="11" style="5468" width="25.00390625" customWidth="1"/>
    <col min="12" max="12" style="5468" width="7.00390625" customWidth="1"/>
    <col min="13" max="13" style="5468" width="15.00390625" customWidth="1"/>
    <col min="14" max="14" style="5468" width="3.00390625" customWidth="1"/>
    <col min="15" max="15" style="5468" width="4.00390625" customWidth="1"/>
    <col min="16" max="16" style="5468" width="8.00390625" customWidth="1"/>
    <col min="17" max="17" style="5468" width="21.00390625" customWidth="1"/>
    <col min="18" max="18" style="5468" width="14.00390625" customWidth="1"/>
    <col min="19" max="20" style="5468" width="17.00390625" customWidth="1"/>
    <col min="21" max="21" style="5468" width="9.00390625" customWidth="1"/>
    <col min="22" max="22" style="5468" width="12.00390625" customWidth="1"/>
    <col min="23" max="23" style="5468" width="9.00390625" customWidth="1"/>
    <col min="24" max="24" style="5468" width="21.00390625" customWidth="1"/>
    <col min="25" max="25" style="5468" width="12.00390625" customWidth="1"/>
    <col min="26" max="26" style="5468" width="3.00390625" customWidth="1"/>
    <col min="27" max="27" style="5468" width="6.00390625" customWidth="1"/>
    <col min="28" max="28" style="5468" width="38.00390625" customWidth="1"/>
    <col min="29" max="29" style="5468" width="15.00390625" customWidth="1"/>
    <col min="30" max="30" style="5468" width="37.57421875" hidden="1" customWidth="1"/>
    <col min="31" max="31" style="5468" width="15.7109375" hidden="1" customWidth="1"/>
    <col min="32" max="34" style="5468" width="16.00390625" customWidth="1"/>
    <col min="35" max="37" style="5468" width="16.7109375" hidden="1" customWidth="1"/>
    <col min="38" max="58" style="5468" width="8.00390625" customWidth="1"/>
    <col min="59" max="59" style="5468" width="9.140625" hidden="1"/>
  </cols>
  <sheetData>
    <row s="5416" customFormat="1" customHeight="1" ht="10.5" hidden="1">
      <c r="A1" s="959"/>
      <c r="B1" s="959"/>
      <c r="C1" s="959"/>
      <c r="E1" s="601"/>
      <c r="H1" s="1224"/>
      <c r="L1" s="1192"/>
      <c r="M1" s="1192"/>
      <c r="AD1" s="1192"/>
      <c r="AH1" s="1211"/>
      <c r="AI1" s="1204"/>
      <c r="BG1" s="481" t="s">
        <v>14</v>
      </c>
    </row>
    <row customHeight="1" ht="10.5" hidden="1">
      <c r="BG2" s="822">
        <v>0</v>
      </c>
    </row>
    <row s="571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горячего водоснабжения и отчетах об их исполнении</v>
      </c>
      <c r="G5" s="2312"/>
      <c r="H5" s="2312"/>
      <c r="I5" s="2312"/>
      <c r="J5" s="2312"/>
      <c r="K5" s="2312"/>
      <c r="L5" s="1199"/>
      <c r="M5" s="1199"/>
      <c r="AG5" s="970"/>
      <c r="AH5" s="1212"/>
      <c r="BG5" s="822">
        <v>26</v>
      </c>
    </row>
    <row customHeight="1" ht="10.5">
      <c r="F6" s="2240" t="str">
        <f>IF(org=0,"Не определено",org)</f>
        <v>Нарьян-Марское МУ ПОКиТС</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304</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989</v>
      </c>
      <c r="G9" s="2473" t="s">
        <v>990</v>
      </c>
      <c r="H9" s="2474"/>
      <c r="I9" s="2191" t="s">
        <v>991</v>
      </c>
      <c r="J9" s="2191"/>
      <c r="K9" s="2191" t="s">
        <v>992</v>
      </c>
      <c r="L9" s="2191"/>
      <c r="M9" s="2191"/>
      <c r="N9" s="2191"/>
      <c r="O9" s="2191"/>
      <c r="P9" s="2191"/>
      <c r="Q9" s="2191"/>
      <c r="R9" s="2191"/>
      <c r="S9" s="2191"/>
      <c r="T9" s="2191"/>
      <c r="U9" s="2191"/>
      <c r="V9" s="2191"/>
      <c r="W9" s="2191"/>
      <c r="X9" s="2191"/>
      <c r="Y9" s="2191"/>
      <c r="Z9" s="2256" t="s">
        <v>993</v>
      </c>
      <c r="AA9" s="2257"/>
      <c r="AB9" s="2191" t="s">
        <v>994</v>
      </c>
      <c r="AC9" s="2191"/>
      <c r="AD9" s="2191"/>
      <c r="AE9" s="2191"/>
      <c r="AF9" s="2239" t="s">
        <v>995</v>
      </c>
      <c r="AG9" s="2191" t="s">
        <v>996</v>
      </c>
      <c r="AH9" s="2191"/>
      <c r="AI9" s="2239" t="s">
        <v>997</v>
      </c>
      <c r="AJ9" s="2191" t="s">
        <v>998</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999</v>
      </c>
      <c r="L10" s="2165" t="s">
        <v>1000</v>
      </c>
      <c r="M10" s="2167"/>
      <c r="N10" s="2191" t="s">
        <v>1001</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5468" customFormat="1" customHeight="1" ht="25.2">
      <c r="A11" s="1193"/>
      <c r="B11" s="1193"/>
      <c r="C11" s="1193"/>
      <c r="D11" s="1192"/>
      <c r="E11" s="1194"/>
      <c r="F11" s="2472"/>
      <c r="G11" s="2475"/>
      <c r="H11" s="2476"/>
      <c r="I11" s="2191"/>
      <c r="J11" s="2191"/>
      <c r="K11" s="2191"/>
      <c r="L11" s="2239" t="s">
        <v>1002</v>
      </c>
      <c r="M11" s="2239" t="s">
        <v>1003</v>
      </c>
      <c r="N11" s="2191" t="s">
        <v>1004</v>
      </c>
      <c r="O11" s="2191"/>
      <c r="P11" s="2482" t="s">
        <v>985</v>
      </c>
      <c r="Q11" s="2482" t="s">
        <v>1005</v>
      </c>
      <c r="R11" s="2482" t="s">
        <v>1006</v>
      </c>
      <c r="S11" s="2482" t="s">
        <v>1007</v>
      </c>
      <c r="T11" s="2482"/>
      <c r="U11" s="2482"/>
      <c r="V11" s="2482"/>
      <c r="W11" s="2482"/>
      <c r="X11" s="2482"/>
      <c r="Y11" s="2482"/>
      <c r="Z11" s="2258"/>
      <c r="AA11" s="2259"/>
      <c r="AB11" s="2191" t="s">
        <v>1008</v>
      </c>
      <c r="AC11" s="2191"/>
      <c r="AD11" s="2165" t="s">
        <v>1009</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90</v>
      </c>
      <c r="J12" s="1217" t="s">
        <v>1010</v>
      </c>
      <c r="K12" s="2191"/>
      <c r="L12" s="2296"/>
      <c r="M12" s="2296"/>
      <c r="N12" s="2191"/>
      <c r="O12" s="2191"/>
      <c r="P12" s="2482"/>
      <c r="Q12" s="2482"/>
      <c r="R12" s="2482"/>
      <c r="S12" s="1198" t="s">
        <v>87</v>
      </c>
      <c r="T12" s="1198" t="s">
        <v>88</v>
      </c>
      <c r="U12" s="1198" t="s">
        <v>86</v>
      </c>
      <c r="V12" s="1198" t="s">
        <v>1011</v>
      </c>
      <c r="W12" s="1198" t="s">
        <v>86</v>
      </c>
      <c r="X12" s="1198" t="s">
        <v>1012</v>
      </c>
      <c r="Y12" s="1198" t="s">
        <v>1013</v>
      </c>
      <c r="Z12" s="2264"/>
      <c r="AA12" s="2265"/>
      <c r="AB12" s="1205" t="s">
        <v>1014</v>
      </c>
      <c r="AC12" s="1205" t="s">
        <v>1015</v>
      </c>
      <c r="AD12" s="1205" t="s">
        <v>1014</v>
      </c>
      <c r="AE12" s="1205" t="s">
        <v>1015</v>
      </c>
      <c r="AF12" s="2296"/>
      <c r="AG12" s="1218" t="s">
        <v>1016</v>
      </c>
      <c r="AH12" s="1218" t="s">
        <v>1017</v>
      </c>
      <c r="AI12" s="2296"/>
      <c r="AJ12" s="1218" t="s">
        <v>1016</v>
      </c>
      <c r="AK12" s="1218" t="s">
        <v>1017</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1018</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83</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499D4-6421-2DBD-DA1B-0.29D47F7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5211" width="4.140625" hidden="1" customWidth="1"/>
    <col min="4" max="4" style="5416" width="4.140625" hidden="1" customWidth="1"/>
    <col min="5" max="5" style="5468" width="3.00390625" customWidth="1"/>
    <col min="6" max="6" style="5468" width="6.00390625" customWidth="1"/>
    <col min="7" max="7" style="5468" width="60.00390625" customWidth="1"/>
    <col min="8" max="9" style="5468" width="21.7109375" hidden="1" customWidth="1"/>
    <col min="10" max="10" style="5468" width="0.140625" customWidth="1"/>
    <col min="11" max="11" style="5468" width="1.00390625" customWidth="1"/>
    <col min="12" max="22" style="5468" width="8.00390625" customWidth="1"/>
    <col min="23" max="23" style="5468" width="9.140625" hidden="1"/>
  </cols>
  <sheetData>
    <row s="5416" customFormat="1" customHeight="1" ht="10.5" hidden="1">
      <c r="A1" s="1230"/>
      <c r="B1" s="1230"/>
      <c r="C1" s="1230"/>
      <c r="E1" s="601"/>
      <c r="W1" s="1224" t="s">
        <v>14</v>
      </c>
    </row>
    <row customHeight="1" ht="10.5" hidden="1">
      <c r="W2" s="1219">
        <v>0</v>
      </c>
    </row>
    <row s="571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2"/>
      <c r="H5" s="2312"/>
      <c r="I5" s="2312"/>
      <c r="J5" s="2312"/>
      <c r="W5" s="1219">
        <v>26</v>
      </c>
    </row>
    <row customHeight="1" ht="10.5">
      <c r="F6" s="2240" t="str">
        <f>IF(org=0,"Не определено",org)</f>
        <v>Нарьян-Марское МУ ПОКиТС</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976"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304</v>
      </c>
      <c r="G9" s="2484"/>
      <c r="H9" s="2484"/>
      <c r="I9" s="2484"/>
      <c r="J9" s="2484"/>
      <c r="K9" s="1304"/>
      <c r="L9" s="1221"/>
      <c r="M9" s="1221"/>
      <c r="N9" s="1221"/>
      <c r="O9" s="1221"/>
      <c r="P9" s="1221"/>
      <c r="Q9" s="1221"/>
      <c r="R9" s="1221"/>
      <c r="S9" s="1221"/>
      <c r="T9" s="1221"/>
      <c r="U9" s="1221"/>
      <c r="V9" s="1221"/>
      <c r="W9" s="1219">
        <v>10</v>
      </c>
    </row>
    <row customHeight="1" ht="25.2">
      <c r="E10" s="1221"/>
      <c r="F10" s="2487" t="s">
        <v>89</v>
      </c>
      <c r="G10" s="2492" t="s">
        <v>1019</v>
      </c>
      <c r="H10" s="2490" t="s">
        <v>1020</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1021</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1022</v>
      </c>
      <c r="G14" s="2485" t="s">
        <v>1023</v>
      </c>
      <c r="H14" s="2485"/>
      <c r="I14" s="2485"/>
      <c r="J14" s="2485"/>
      <c r="K14" s="1298"/>
      <c r="W14" s="1219">
        <v>11</v>
      </c>
    </row>
    <row customHeight="1" ht="11.549999999999999">
      <c r="F15" s="1294">
        <v>1</v>
      </c>
      <c r="G15" s="754" t="s">
        <v>1024</v>
      </c>
      <c r="H15" s="1300">
        <f>SUM(I15:J15)</f>
        <v>0</v>
      </c>
      <c r="I15" s="1300">
        <f>SUM(I16:I27)</f>
        <v>0</v>
      </c>
      <c r="J15" s="1289"/>
      <c r="K15" s="1298"/>
      <c r="W15" s="1219">
        <v>11</v>
      </c>
    </row>
    <row customHeight="1" ht="24">
      <c r="F16" s="1294" t="s">
        <v>1025</v>
      </c>
      <c r="G16" s="1301" t="s">
        <v>1026</v>
      </c>
      <c r="H16" s="1300">
        <f>SUM(I16:J16)</f>
        <v>0</v>
      </c>
      <c r="I16" s="1299"/>
      <c r="J16" s="1289"/>
      <c r="K16" s="1298"/>
      <c r="W16" s="1219">
        <v>23</v>
      </c>
    </row>
    <row customHeight="1" ht="24">
      <c r="F17" s="1294" t="s">
        <v>1027</v>
      </c>
      <c r="G17" s="1301" t="s">
        <v>1028</v>
      </c>
      <c r="H17" s="1300">
        <f>SUM(I17:J17)</f>
        <v>0</v>
      </c>
      <c r="I17" s="1299"/>
      <c r="J17" s="1289"/>
      <c r="K17" s="1298"/>
      <c r="W17" s="1219">
        <v>23</v>
      </c>
    </row>
    <row customHeight="1" ht="35.699999999999996">
      <c r="F18" s="1294" t="s">
        <v>1029</v>
      </c>
      <c r="G18" s="1301" t="s">
        <v>1030</v>
      </c>
      <c r="H18" s="1300">
        <f>SUM(I18:J18)</f>
        <v>0</v>
      </c>
      <c r="I18" s="1299"/>
      <c r="J18" s="1289"/>
      <c r="K18" s="1298"/>
      <c r="W18" s="1219">
        <v>34</v>
      </c>
    </row>
    <row customHeight="1" ht="35.699999999999996">
      <c r="F19" s="1294" t="s">
        <v>1031</v>
      </c>
      <c r="G19" s="1301" t="s">
        <v>1032</v>
      </c>
      <c r="H19" s="1300">
        <f>SUM(I19:J19)</f>
        <v>0</v>
      </c>
      <c r="I19" s="1299"/>
      <c r="J19" s="1289"/>
      <c r="K19" s="1298"/>
      <c r="W19" s="1219">
        <v>34</v>
      </c>
    </row>
    <row customHeight="1" ht="48.29999999999999">
      <c r="F20" s="1294" t="s">
        <v>1033</v>
      </c>
      <c r="G20" s="1301" t="s">
        <v>1034</v>
      </c>
      <c r="H20" s="1300">
        <f>SUM(I20:J20)</f>
        <v>0</v>
      </c>
      <c r="I20" s="1299"/>
      <c r="J20" s="1289"/>
      <c r="K20" s="1298"/>
      <c r="W20" s="1219">
        <v>46</v>
      </c>
    </row>
    <row customHeight="1" ht="35.699999999999996">
      <c r="F21" s="1294" t="s">
        <v>1035</v>
      </c>
      <c r="G21" s="1301" t="s">
        <v>1036</v>
      </c>
      <c r="H21" s="1300">
        <f>SUM(I21:J21)</f>
        <v>0</v>
      </c>
      <c r="I21" s="1299"/>
      <c r="J21" s="1289"/>
      <c r="K21" s="1298"/>
      <c r="W21" s="1219">
        <v>34</v>
      </c>
    </row>
    <row customHeight="1" ht="35.699999999999996">
      <c r="F22" s="1294" t="s">
        <v>1037</v>
      </c>
      <c r="G22" s="1301" t="s">
        <v>1038</v>
      </c>
      <c r="H22" s="1300">
        <f>SUM(I22:J22)</f>
        <v>0</v>
      </c>
      <c r="I22" s="1299"/>
      <c r="J22" s="1289"/>
      <c r="K22" s="1298"/>
      <c r="W22" s="1219">
        <v>34</v>
      </c>
    </row>
    <row customHeight="1" ht="24">
      <c r="F23" s="1294" t="s">
        <v>1039</v>
      </c>
      <c r="G23" s="1301" t="s">
        <v>1040</v>
      </c>
      <c r="H23" s="1300">
        <f>SUM(I23:J23)</f>
        <v>0</v>
      </c>
      <c r="I23" s="1299"/>
      <c r="J23" s="1289"/>
      <c r="K23" s="1298"/>
      <c r="W23" s="1219">
        <v>23</v>
      </c>
    </row>
    <row customHeight="1" ht="24">
      <c r="F24" s="1294" t="s">
        <v>1041</v>
      </c>
      <c r="G24" s="1301" t="s">
        <v>1042</v>
      </c>
      <c r="H24" s="1300">
        <f>SUM(I24:J24)</f>
        <v>0</v>
      </c>
      <c r="I24" s="1299"/>
      <c r="J24" s="1289"/>
      <c r="K24" s="1298"/>
      <c r="W24" s="1219">
        <v>23</v>
      </c>
    </row>
    <row customHeight="1" ht="35.699999999999996">
      <c r="F25" s="1294" t="s">
        <v>1043</v>
      </c>
      <c r="G25" s="1301" t="s">
        <v>1044</v>
      </c>
      <c r="H25" s="1300">
        <f>SUM(I25:J25)</f>
        <v>0</v>
      </c>
      <c r="I25" s="1299"/>
      <c r="J25" s="1289"/>
      <c r="K25" s="1298"/>
      <c r="W25" s="1219">
        <v>34</v>
      </c>
    </row>
    <row customHeight="1" ht="35.699999999999996">
      <c r="F26" s="1294" t="s">
        <v>1045</v>
      </c>
      <c r="G26" s="1301" t="s">
        <v>1046</v>
      </c>
      <c r="H26" s="1300">
        <f>SUM(I26:J26)</f>
        <v>0</v>
      </c>
      <c r="I26" s="1299"/>
      <c r="J26" s="1289"/>
      <c r="K26" s="1298"/>
      <c r="W26" s="1219">
        <v>34</v>
      </c>
    </row>
    <row customHeight="1" ht="11.549999999999999">
      <c r="F27" s="1294" t="s">
        <v>1047</v>
      </c>
      <c r="G27" s="1301" t="s">
        <v>1048</v>
      </c>
      <c r="H27" s="1300">
        <f>SUM(I27:J27)</f>
        <v>0</v>
      </c>
      <c r="I27" s="1299"/>
      <c r="J27" s="1289"/>
      <c r="K27" s="1298"/>
      <c r="W27" s="1219">
        <v>11</v>
      </c>
    </row>
    <row customHeight="1" ht="11.549999999999999">
      <c r="F28" s="1294">
        <v>2</v>
      </c>
      <c r="G28" s="754" t="s">
        <v>1049</v>
      </c>
      <c r="H28" s="1300">
        <f>SUM(I28:J28)</f>
        <v>0</v>
      </c>
      <c r="I28" s="1300">
        <f>SUM(I29:I31)</f>
        <v>0</v>
      </c>
      <c r="J28" s="1289"/>
      <c r="K28" s="1298"/>
      <c r="W28" s="1219">
        <v>11</v>
      </c>
    </row>
    <row customHeight="1" ht="11.549999999999999">
      <c r="F29" s="1294" t="s">
        <v>712</v>
      </c>
      <c r="G29" s="1301" t="s">
        <v>1050</v>
      </c>
      <c r="H29" s="1300">
        <f>SUM(I29:J29)</f>
        <v>0</v>
      </c>
      <c r="I29" s="1299"/>
      <c r="J29" s="1289"/>
      <c r="K29" s="1298"/>
      <c r="W29" s="1219">
        <v>11</v>
      </c>
    </row>
    <row customHeight="1" ht="11.549999999999999">
      <c r="F30" s="1294" t="s">
        <v>311</v>
      </c>
      <c r="G30" s="1301" t="s">
        <v>1051</v>
      </c>
      <c r="H30" s="1300">
        <f>SUM(I30:J30)</f>
        <v>0</v>
      </c>
      <c r="I30" s="1299"/>
      <c r="J30" s="1289"/>
      <c r="K30" s="1298"/>
      <c r="W30" s="1219">
        <v>11</v>
      </c>
    </row>
    <row customHeight="1" ht="11.549999999999999">
      <c r="F31" s="1294" t="s">
        <v>314</v>
      </c>
      <c r="G31" s="1301" t="s">
        <v>1052</v>
      </c>
      <c r="H31" s="1300">
        <f>SUM(I31:J31)</f>
        <v>0</v>
      </c>
      <c r="I31" s="1299"/>
      <c r="J31" s="1289"/>
      <c r="K31" s="1298"/>
      <c r="W31" s="1219">
        <v>11</v>
      </c>
    </row>
    <row customHeight="1" ht="11.549999999999999">
      <c r="F32" s="1294">
        <v>3</v>
      </c>
      <c r="G32" s="754" t="s">
        <v>1053</v>
      </c>
      <c r="H32" s="1300">
        <f>SUM(I32:J32)</f>
        <v>0</v>
      </c>
      <c r="I32" s="1300">
        <f>SUM(I33:I34)</f>
        <v>0</v>
      </c>
      <c r="J32" s="1289"/>
      <c r="K32" s="1298"/>
      <c r="W32" s="1219">
        <v>11</v>
      </c>
    </row>
    <row customHeight="1" ht="48.29999999999999">
      <c r="F33" s="1294" t="s">
        <v>328</v>
      </c>
      <c r="G33" s="1301" t="s">
        <v>1054</v>
      </c>
      <c r="H33" s="1300">
        <f>SUM(I33:J33)</f>
        <v>0</v>
      </c>
      <c r="I33" s="1299"/>
      <c r="J33" s="1289"/>
      <c r="K33" s="1298"/>
      <c r="W33" s="1219">
        <v>46</v>
      </c>
    </row>
    <row customHeight="1" ht="11.549999999999999">
      <c r="F34" s="1294" t="s">
        <v>336</v>
      </c>
      <c r="G34" s="1301" t="s">
        <v>1055</v>
      </c>
      <c r="H34" s="1300">
        <f>SUM(I34:J34)</f>
        <v>0</v>
      </c>
      <c r="I34" s="1299"/>
      <c r="J34" s="1289"/>
      <c r="K34" s="1298"/>
      <c r="W34" s="1219">
        <v>11</v>
      </c>
    </row>
    <row customHeight="1" ht="11.549999999999999">
      <c r="F35" s="1294">
        <v>4</v>
      </c>
      <c r="G35" s="754" t="s">
        <v>1056</v>
      </c>
      <c r="H35" s="1300">
        <f>SUM(I35:J35)</f>
        <v>0</v>
      </c>
      <c r="I35" s="1299"/>
      <c r="J35" s="1289"/>
      <c r="K35" s="1298"/>
      <c r="W35" s="1219">
        <v>11</v>
      </c>
    </row>
    <row customHeight="1" ht="11.549999999999999">
      <c r="F36" s="1294"/>
      <c r="G36" s="757" t="s">
        <v>1057</v>
      </c>
      <c r="H36" s="1300">
        <f>SUM(I36:J36)</f>
        <v>0</v>
      </c>
      <c r="I36" s="1300">
        <f>SUM(I15,I28,I32,I35)</f>
        <v>0</v>
      </c>
      <c r="J36" s="1289"/>
      <c r="K36" s="1298"/>
      <c r="W36" s="1219">
        <v>11</v>
      </c>
    </row>
    <row customHeight="1" ht="29.25">
      <c r="F37" s="1295" t="s">
        <v>1058</v>
      </c>
      <c r="G37" s="2486" t="s">
        <v>1059</v>
      </c>
      <c r="H37" s="2486"/>
      <c r="I37" s="2486"/>
      <c r="J37" s="2486"/>
      <c r="K37" s="1298"/>
      <c r="W37" s="1219">
        <v>28</v>
      </c>
    </row>
    <row customHeight="1" ht="24">
      <c r="F38" s="1294" t="s">
        <v>110</v>
      </c>
      <c r="G38" s="754" t="s">
        <v>1060</v>
      </c>
      <c r="H38" s="1300">
        <f>SUM(I38:J38)</f>
        <v>0</v>
      </c>
      <c r="I38" s="1300">
        <f>SUM(I39,I44,I47)</f>
        <v>0</v>
      </c>
      <c r="J38" s="1289"/>
      <c r="K38" s="1298"/>
      <c r="W38" s="1219">
        <v>23</v>
      </c>
    </row>
    <row customHeight="1" ht="11.549999999999999">
      <c r="F39" s="1294" t="s">
        <v>1025</v>
      </c>
      <c r="G39" s="1301" t="s">
        <v>1024</v>
      </c>
      <c r="H39" s="1300">
        <f>SUM(I39:J39)</f>
        <v>0</v>
      </c>
      <c r="I39" s="1300">
        <f>SUM(I40:I43)</f>
        <v>0</v>
      </c>
      <c r="J39" s="1289"/>
      <c r="K39" s="1298"/>
      <c r="W39" s="1219">
        <v>11</v>
      </c>
    </row>
    <row customHeight="1" ht="24">
      <c r="F40" s="1294" t="s">
        <v>1061</v>
      </c>
      <c r="G40" s="1302" t="s">
        <v>1062</v>
      </c>
      <c r="H40" s="1300">
        <f>SUM(I40:J40)</f>
        <v>0</v>
      </c>
      <c r="I40" s="1299"/>
      <c r="J40" s="1289"/>
      <c r="K40" s="1298"/>
      <c r="W40" s="1219">
        <v>23</v>
      </c>
    </row>
    <row customHeight="1" ht="11.549999999999999">
      <c r="F41" s="1294" t="s">
        <v>1063</v>
      </c>
      <c r="G41" s="1302" t="s">
        <v>1064</v>
      </c>
      <c r="H41" s="1300">
        <f>SUM(I41:J41)</f>
        <v>0</v>
      </c>
      <c r="I41" s="1299"/>
      <c r="J41" s="1289"/>
      <c r="K41" s="1298"/>
      <c r="W41" s="1219">
        <v>11</v>
      </c>
    </row>
    <row customHeight="1" ht="11.549999999999999">
      <c r="F42" s="1294" t="s">
        <v>1065</v>
      </c>
      <c r="G42" s="1302" t="s">
        <v>1066</v>
      </c>
      <c r="H42" s="1300">
        <f>SUM(I42:J42)</f>
        <v>0</v>
      </c>
      <c r="I42" s="1299"/>
      <c r="J42" s="1289"/>
      <c r="K42" s="1298"/>
      <c r="W42" s="1219">
        <v>11</v>
      </c>
    </row>
    <row customHeight="1" ht="35.699999999999996">
      <c r="F43" s="1294" t="s">
        <v>1067</v>
      </c>
      <c r="G43" s="1302" t="s">
        <v>1068</v>
      </c>
      <c r="H43" s="1300">
        <f>SUM(I43:J43)</f>
        <v>0</v>
      </c>
      <c r="I43" s="1299"/>
      <c r="J43" s="1289"/>
      <c r="K43" s="1298"/>
      <c r="W43" s="1219">
        <v>34</v>
      </c>
    </row>
    <row customHeight="1" ht="11.549999999999999">
      <c r="F44" s="1294" t="s">
        <v>1027</v>
      </c>
      <c r="G44" s="1301" t="s">
        <v>1053</v>
      </c>
      <c r="H44" s="1300">
        <f>SUM(I44:J44)</f>
        <v>0</v>
      </c>
      <c r="I44" s="1300">
        <f>SUM(I45:I46)</f>
        <v>0</v>
      </c>
      <c r="J44" s="1289"/>
      <c r="K44" s="1298"/>
      <c r="W44" s="1219">
        <v>11</v>
      </c>
    </row>
    <row customHeight="1" ht="48.29999999999999">
      <c r="F45" s="1294" t="s">
        <v>1069</v>
      </c>
      <c r="G45" s="1302" t="s">
        <v>1054</v>
      </c>
      <c r="H45" s="1300">
        <f>SUM(I45:J45)</f>
        <v>0</v>
      </c>
      <c r="I45" s="1299"/>
      <c r="J45" s="1289"/>
      <c r="K45" s="1298"/>
      <c r="W45" s="1219">
        <v>46</v>
      </c>
    </row>
    <row customHeight="1" ht="11.549999999999999">
      <c r="F46" s="1294" t="s">
        <v>1070</v>
      </c>
      <c r="G46" s="1302" t="s">
        <v>1055</v>
      </c>
      <c r="H46" s="1300">
        <f>SUM(I46:J46)</f>
        <v>0</v>
      </c>
      <c r="I46" s="1299"/>
      <c r="J46" s="1289"/>
      <c r="K46" s="1298"/>
      <c r="W46" s="1219">
        <v>11</v>
      </c>
    </row>
    <row customHeight="1" ht="11.549999999999999">
      <c r="F47" s="1294" t="s">
        <v>1029</v>
      </c>
      <c r="G47" s="1301" t="s">
        <v>1071</v>
      </c>
      <c r="H47" s="1300">
        <f>SUM(I47:J47)</f>
        <v>0</v>
      </c>
      <c r="I47" s="1299"/>
      <c r="J47" s="1289"/>
      <c r="K47" s="1298"/>
      <c r="W47" s="1219">
        <v>11</v>
      </c>
    </row>
    <row customHeight="1" ht="24">
      <c r="F48" s="1294" t="s">
        <v>111</v>
      </c>
      <c r="G48" s="754" t="s">
        <v>1072</v>
      </c>
      <c r="H48" s="1300">
        <f>SUM(I48:J48)</f>
        <v>0</v>
      </c>
      <c r="I48" s="1300">
        <f>SUM(I49,I54,I57)</f>
        <v>0</v>
      </c>
      <c r="J48" s="1289"/>
      <c r="K48" s="1298"/>
      <c r="W48" s="1219">
        <v>23</v>
      </c>
    </row>
    <row customHeight="1" ht="11.549999999999999">
      <c r="F49" s="1294" t="s">
        <v>712</v>
      </c>
      <c r="G49" s="1301" t="s">
        <v>1024</v>
      </c>
      <c r="H49" s="1300">
        <f>SUM(I49:J49)</f>
        <v>0</v>
      </c>
      <c r="I49" s="1300">
        <f>SUM(I50:I53)</f>
        <v>0</v>
      </c>
      <c r="J49" s="1289"/>
      <c r="K49" s="1298"/>
      <c r="W49" s="1219">
        <v>11</v>
      </c>
    </row>
    <row customHeight="1" ht="24">
      <c r="F50" s="1294" t="s">
        <v>715</v>
      </c>
      <c r="G50" s="1302" t="s">
        <v>1062</v>
      </c>
      <c r="H50" s="1300">
        <f>SUM(I50:J50)</f>
        <v>0</v>
      </c>
      <c r="I50" s="1299"/>
      <c r="J50" s="1289"/>
      <c r="K50" s="1298"/>
      <c r="W50" s="1219">
        <v>23</v>
      </c>
    </row>
    <row customHeight="1" ht="11.549999999999999">
      <c r="F51" s="1294" t="s">
        <v>718</v>
      </c>
      <c r="G51" s="1302" t="s">
        <v>1064</v>
      </c>
      <c r="H51" s="1300">
        <f>SUM(I51:J51)</f>
        <v>0</v>
      </c>
      <c r="I51" s="1299"/>
      <c r="J51" s="1289"/>
      <c r="K51" s="1298"/>
      <c r="W51" s="1219">
        <v>11</v>
      </c>
    </row>
    <row customHeight="1" ht="11.549999999999999">
      <c r="F52" s="1294" t="s">
        <v>1073</v>
      </c>
      <c r="G52" s="1302" t="s">
        <v>1066</v>
      </c>
      <c r="H52" s="1300">
        <f>SUM(I52:J52)</f>
        <v>0</v>
      </c>
      <c r="I52" s="1299"/>
      <c r="J52" s="1289"/>
      <c r="K52" s="1298"/>
      <c r="W52" s="1219">
        <v>11</v>
      </c>
    </row>
    <row customHeight="1" ht="35.699999999999996">
      <c r="F53" s="1294" t="s">
        <v>1074</v>
      </c>
      <c r="G53" s="1302" t="s">
        <v>1068</v>
      </c>
      <c r="H53" s="1300">
        <f>SUM(I53:J53)</f>
        <v>0</v>
      </c>
      <c r="I53" s="1299"/>
      <c r="J53" s="1289"/>
      <c r="K53" s="1298"/>
      <c r="W53" s="1219">
        <v>34</v>
      </c>
    </row>
    <row customHeight="1" ht="11.549999999999999">
      <c r="F54" s="1294" t="s">
        <v>311</v>
      </c>
      <c r="G54" s="1301" t="s">
        <v>1053</v>
      </c>
      <c r="H54" s="1300">
        <f>SUM(I54:J54)</f>
        <v>0</v>
      </c>
      <c r="I54" s="1300">
        <f>SUM(I55:I56)</f>
        <v>0</v>
      </c>
      <c r="J54" s="1289"/>
      <c r="K54" s="1298"/>
      <c r="W54" s="1219">
        <v>11</v>
      </c>
    </row>
    <row customHeight="1" ht="48.29999999999999">
      <c r="F55" s="1294" t="s">
        <v>722</v>
      </c>
      <c r="G55" s="1302" t="s">
        <v>1054</v>
      </c>
      <c r="H55" s="1300">
        <f>SUM(I55:J55)</f>
        <v>0</v>
      </c>
      <c r="I55" s="1299"/>
      <c r="J55" s="1289"/>
      <c r="K55" s="1298"/>
      <c r="W55" s="1219">
        <v>46</v>
      </c>
    </row>
    <row customHeight="1" ht="11.549999999999999">
      <c r="F56" s="1294" t="s">
        <v>724</v>
      </c>
      <c r="G56" s="1302" t="s">
        <v>1055</v>
      </c>
      <c r="H56" s="1300">
        <f>SUM(I56:J56)</f>
        <v>0</v>
      </c>
      <c r="I56" s="1299"/>
      <c r="J56" s="1289"/>
      <c r="K56" s="1298"/>
      <c r="W56" s="1219">
        <v>11</v>
      </c>
    </row>
    <row customHeight="1" ht="11.549999999999999">
      <c r="F57" s="1294" t="s">
        <v>314</v>
      </c>
      <c r="G57" s="1301" t="s">
        <v>1071</v>
      </c>
      <c r="H57" s="1300">
        <f>SUM(I57:J57)</f>
        <v>0</v>
      </c>
      <c r="I57" s="1299"/>
      <c r="J57" s="1289"/>
      <c r="K57" s="1298"/>
      <c r="W57" s="1219">
        <v>11</v>
      </c>
    </row>
    <row customHeight="1" ht="11.549999999999999">
      <c r="F58" s="1294"/>
      <c r="G58" s="1303" t="s">
        <v>1057</v>
      </c>
      <c r="H58" s="1300">
        <f>SUM(I58:J58)</f>
        <v>0</v>
      </c>
      <c r="I58" s="1300">
        <f>SUM(I38,I48)</f>
        <v>0</v>
      </c>
      <c r="J58" s="1289"/>
      <c r="K58" s="1298"/>
      <c r="W58" s="1219">
        <v>11</v>
      </c>
    </row>
    <row customHeight="1" ht="10.5" hidden="1">
      <c r="A59" s="1230" t="s">
        <v>83</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528AD-BA82-183F-8965-0.5AB6BA2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5375" width="4.7109375" hidden="1" customWidth="1"/>
    <col min="2" max="2" style="5378" width="4.7109375" hidden="1" customWidth="1"/>
    <col min="3" max="4" style="5375" width="4.7109375" hidden="1" customWidth="1"/>
    <col min="5" max="5" style="5375" width="3.00390625" customWidth="1"/>
    <col min="6" max="6" style="5375" width="6.00390625" customWidth="1"/>
    <col min="7" max="7" style="5375" width="18.00390625" customWidth="1"/>
    <col min="8" max="8" style="5375" width="27.00390625" customWidth="1"/>
    <col min="9" max="9" style="5375" width="18.00390625" customWidth="1"/>
    <col min="10" max="14" style="5375" width="0.8515625" hidden="1" customWidth="1"/>
    <col min="15" max="28" style="5375" width="21.7109375" hidden="1" customWidth="1"/>
    <col min="29" max="71" style="5375" width="0.8515625" hidden="1" customWidth="1"/>
    <col min="72" max="79" style="5375" width="21.7109375" customWidth="1"/>
    <col min="80" max="81" style="5375" width="29.140625" customWidth="1"/>
    <col min="82" max="89" style="5375" width="21.7109375" customWidth="1"/>
    <col min="90" max="102" style="5375" width="0.7109375" customWidth="1"/>
    <col min="103" max="114" style="5375" width="21.7109375" hidden="1" customWidth="1"/>
    <col min="115" max="178" style="5375" width="0.7109375" hidden="1" customWidth="1"/>
    <col min="179" max="179" style="5375" width="0.140625" customWidth="1"/>
    <col min="180" max="184" style="5375" width="8.00390625" customWidth="1"/>
    <col min="185" max="185" style="5375" width="9.140625" hidden="1"/>
  </cols>
  <sheetData>
    <row s="5313" customFormat="1" customHeight="1" ht="12" hidden="1">
      <c r="B1" s="987"/>
      <c r="C1" s="988"/>
      <c r="D1" s="988"/>
      <c r="GC1" s="986" t="s">
        <v>14</v>
      </c>
    </row>
    <row s="5313"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5313"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5319"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6024" customFormat="1" customHeight="1" ht="18.75">
      <c r="B6" s="1007"/>
      <c r="E6" s="1009"/>
      <c r="F6" s="2278" t="str">
        <f>IF(org=0,"Не определено",org)</f>
        <v>Нарьян-Марское МУ ПОКиТС</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5328"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5328" customFormat="1" customHeight="1" ht="11.25" hidden="1">
      <c r="B8" s="998"/>
      <c r="F8" s="1120"/>
      <c r="G8" s="827"/>
      <c r="H8" s="424"/>
      <c r="I8" s="424"/>
      <c r="J8" s="424"/>
      <c r="K8" s="424"/>
      <c r="L8" s="424"/>
      <c r="M8" s="1120"/>
      <c r="N8" s="1120"/>
      <c r="O8" s="2514" t="s">
        <v>1075</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1076</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5328"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5328" customFormat="1" customHeight="1" ht="11.549999999999999">
      <c r="B10" s="998"/>
      <c r="F10" s="2493" t="s">
        <v>304</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89</v>
      </c>
      <c r="G11" s="2269" t="s">
        <v>1077</v>
      </c>
      <c r="H11" s="2501" t="s">
        <v>1078</v>
      </c>
      <c r="I11" s="2501" t="s">
        <v>1079</v>
      </c>
      <c r="J11" s="2502"/>
      <c r="K11" s="2502"/>
      <c r="L11" s="2502"/>
      <c r="M11" s="2502"/>
      <c r="N11" s="2502"/>
      <c r="O11" s="2273" t="s">
        <v>1080</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1080</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1080</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1081</v>
      </c>
      <c r="P12" s="2273"/>
      <c r="Q12" s="2273"/>
      <c r="R12" s="2273"/>
      <c r="S12" s="2273" t="s">
        <v>1082</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1083</v>
      </c>
      <c r="BU12" s="2451"/>
      <c r="BV12" s="2451"/>
      <c r="BW12" s="2497"/>
      <c r="BX12" s="2450" t="s">
        <v>1084</v>
      </c>
      <c r="BY12" s="2451"/>
      <c r="BZ12" s="2451"/>
      <c r="CA12" s="2497"/>
      <c r="CB12" s="2450" t="s">
        <v>1085</v>
      </c>
      <c r="CC12" s="2497"/>
      <c r="CD12" s="2450" t="s">
        <v>1086</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1087</v>
      </c>
      <c r="CZ12" s="2451"/>
      <c r="DA12" s="2451"/>
      <c r="DB12" s="2451"/>
      <c r="DC12" s="2451"/>
      <c r="DD12" s="2497"/>
      <c r="DE12" s="2450" t="s">
        <v>1088</v>
      </c>
      <c r="DF12" s="2497"/>
      <c r="DG12" s="2450" t="s">
        <v>1086</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1089</v>
      </c>
      <c r="P13" s="2273"/>
      <c r="Q13" s="2273"/>
      <c r="R13" s="2273"/>
      <c r="S13" s="2400" t="s">
        <v>1090</v>
      </c>
      <c r="T13" s="2452"/>
      <c r="U13" s="2191" t="s">
        <v>1091</v>
      </c>
      <c r="V13" s="2191"/>
      <c r="W13" s="2191"/>
      <c r="X13" s="2191"/>
      <c r="Y13" s="2191" t="s">
        <v>1092</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1093</v>
      </c>
      <c r="BU13" s="2452"/>
      <c r="BV13" s="2400" t="s">
        <v>1094</v>
      </c>
      <c r="BW13" s="2452"/>
      <c r="BX13" s="2400" t="s">
        <v>1095</v>
      </c>
      <c r="BY13" s="2452"/>
      <c r="BZ13" s="2400" t="s">
        <v>1096</v>
      </c>
      <c r="CA13" s="2452"/>
      <c r="CB13" s="2400" t="s">
        <v>1097</v>
      </c>
      <c r="CC13" s="2452"/>
      <c r="CD13" s="2400" t="s">
        <v>1098</v>
      </c>
      <c r="CE13" s="2452"/>
      <c r="CF13" s="2400" t="s">
        <v>1099</v>
      </c>
      <c r="CG13" s="2452"/>
      <c r="CH13" s="2450" t="s">
        <v>1100</v>
      </c>
      <c r="CI13" s="2451"/>
      <c r="CJ13" s="2451"/>
      <c r="CK13" s="2497"/>
      <c r="CL13" s="2500"/>
      <c r="CM13" s="2498"/>
      <c r="CN13" s="2498"/>
      <c r="CO13" s="2498"/>
      <c r="CP13" s="2498"/>
      <c r="CQ13" s="2498"/>
      <c r="CR13" s="2498"/>
      <c r="CS13" s="2498"/>
      <c r="CT13" s="2498"/>
      <c r="CU13" s="2498"/>
      <c r="CV13" s="2498"/>
      <c r="CW13" s="2498"/>
      <c r="CX13" s="2517"/>
      <c r="CY13" s="2400" t="s">
        <v>1101</v>
      </c>
      <c r="CZ13" s="2452"/>
      <c r="DA13" s="2400" t="s">
        <v>1102</v>
      </c>
      <c r="DB13" s="2452"/>
      <c r="DC13" s="2400" t="s">
        <v>1103</v>
      </c>
      <c r="DD13" s="2452"/>
      <c r="DE13" s="2400" t="s">
        <v>1104</v>
      </c>
      <c r="DF13" s="2452"/>
      <c r="DG13" s="2450" t="s">
        <v>1105</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1106</v>
      </c>
      <c r="P14" s="2452"/>
      <c r="Q14" s="2400" t="s">
        <v>1107</v>
      </c>
      <c r="R14" s="2452"/>
      <c r="S14" s="2401"/>
      <c r="T14" s="2277"/>
      <c r="U14" s="2400" t="s">
        <v>839</v>
      </c>
      <c r="V14" s="2452"/>
      <c r="W14" s="2400" t="s">
        <v>842</v>
      </c>
      <c r="X14" s="2452"/>
      <c r="Y14" s="2400" t="s">
        <v>839</v>
      </c>
      <c r="Z14" s="2452"/>
      <c r="AA14" s="2400" t="s">
        <v>849</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1108</v>
      </c>
      <c r="CI14" s="2452"/>
      <c r="CJ14" s="2400" t="s">
        <v>1109</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1110</v>
      </c>
      <c r="DH14" s="2452"/>
      <c r="DI14" s="2400" t="s">
        <v>1111</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829</v>
      </c>
      <c r="P16" s="2497"/>
      <c r="Q16" s="2450" t="s">
        <v>831</v>
      </c>
      <c r="R16" s="2497"/>
      <c r="S16" s="2450" t="s">
        <v>835</v>
      </c>
      <c r="T16" s="2497"/>
      <c r="U16" s="2450" t="s">
        <v>840</v>
      </c>
      <c r="V16" s="2497"/>
      <c r="W16" s="2450" t="s">
        <v>843</v>
      </c>
      <c r="X16" s="2497"/>
      <c r="Y16" s="2450" t="s">
        <v>847</v>
      </c>
      <c r="Z16" s="2497"/>
      <c r="AA16" s="2450" t="s">
        <v>850</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562</v>
      </c>
      <c r="BU16" s="2497"/>
      <c r="BV16" s="2450" t="s">
        <v>562</v>
      </c>
      <c r="BW16" s="2497"/>
      <c r="BX16" s="2450" t="s">
        <v>562</v>
      </c>
      <c r="BY16" s="2497"/>
      <c r="BZ16" s="2450" t="s">
        <v>562</v>
      </c>
      <c r="CA16" s="2497"/>
      <c r="CB16" s="2450" t="s">
        <v>1112</v>
      </c>
      <c r="CC16" s="2497"/>
      <c r="CD16" s="2450" t="s">
        <v>562</v>
      </c>
      <c r="CE16" s="2497"/>
      <c r="CF16" s="2450" t="s">
        <v>1113</v>
      </c>
      <c r="CG16" s="2497"/>
      <c r="CH16" s="2450" t="s">
        <v>1114</v>
      </c>
      <c r="CI16" s="2497"/>
      <c r="CJ16" s="2450" t="s">
        <v>1114</v>
      </c>
      <c r="CK16" s="2497"/>
      <c r="CL16" s="2500"/>
      <c r="CM16" s="2498"/>
      <c r="CN16" s="2498"/>
      <c r="CO16" s="2498"/>
      <c r="CP16" s="2498"/>
      <c r="CQ16" s="2498"/>
      <c r="CR16" s="2498"/>
      <c r="CS16" s="2498"/>
      <c r="CT16" s="2498"/>
      <c r="CU16" s="2498"/>
      <c r="CV16" s="2498"/>
      <c r="CW16" s="2498"/>
      <c r="CX16" s="2517"/>
      <c r="CY16" s="2400" t="s">
        <v>562</v>
      </c>
      <c r="CZ16" s="2452"/>
      <c r="DA16" s="2400" t="s">
        <v>562</v>
      </c>
      <c r="DB16" s="2452"/>
      <c r="DC16" s="2400" t="s">
        <v>562</v>
      </c>
      <c r="DD16" s="2452"/>
      <c r="DE16" s="2450" t="s">
        <v>1112</v>
      </c>
      <c r="DF16" s="2497"/>
      <c r="DG16" s="2450" t="s">
        <v>1115</v>
      </c>
      <c r="DH16" s="2497"/>
      <c r="DI16" s="2450" t="s">
        <v>1115</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1116</v>
      </c>
      <c r="P17" s="1255" t="s">
        <v>1117</v>
      </c>
      <c r="Q17" s="1255" t="s">
        <v>1116</v>
      </c>
      <c r="R17" s="1255" t="s">
        <v>1117</v>
      </c>
      <c r="S17" s="1255" t="s">
        <v>1116</v>
      </c>
      <c r="T17" s="1255" t="s">
        <v>1117</v>
      </c>
      <c r="U17" s="1255" t="s">
        <v>1116</v>
      </c>
      <c r="V17" s="1255" t="s">
        <v>1117</v>
      </c>
      <c r="W17" s="1255" t="s">
        <v>1116</v>
      </c>
      <c r="X17" s="1255" t="s">
        <v>1117</v>
      </c>
      <c r="Y17" s="1255" t="s">
        <v>1116</v>
      </c>
      <c r="Z17" s="1255" t="s">
        <v>1117</v>
      </c>
      <c r="AA17" s="1255" t="s">
        <v>1116</v>
      </c>
      <c r="AB17" s="1255" t="s">
        <v>1117</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1116</v>
      </c>
      <c r="BU17" s="1255" t="s">
        <v>1117</v>
      </c>
      <c r="BV17" s="1255" t="s">
        <v>1116</v>
      </c>
      <c r="BW17" s="1255" t="s">
        <v>1117</v>
      </c>
      <c r="BX17" s="1255" t="s">
        <v>1116</v>
      </c>
      <c r="BY17" s="1255" t="s">
        <v>1117</v>
      </c>
      <c r="BZ17" s="1255" t="s">
        <v>1116</v>
      </c>
      <c r="CA17" s="1255" t="s">
        <v>1117</v>
      </c>
      <c r="CB17" s="1255" t="s">
        <v>1116</v>
      </c>
      <c r="CC17" s="1255" t="s">
        <v>1117</v>
      </c>
      <c r="CD17" s="1255" t="s">
        <v>1116</v>
      </c>
      <c r="CE17" s="1255" t="s">
        <v>1117</v>
      </c>
      <c r="CF17" s="1255" t="s">
        <v>1116</v>
      </c>
      <c r="CG17" s="1255" t="s">
        <v>1117</v>
      </c>
      <c r="CH17" s="1255" t="s">
        <v>1116</v>
      </c>
      <c r="CI17" s="1255" t="s">
        <v>1117</v>
      </c>
      <c r="CJ17" s="1255" t="s">
        <v>1116</v>
      </c>
      <c r="CK17" s="1255" t="s">
        <v>1117</v>
      </c>
      <c r="CL17" s="2500"/>
      <c r="CM17" s="2498"/>
      <c r="CN17" s="2498"/>
      <c r="CO17" s="2498"/>
      <c r="CP17" s="2498"/>
      <c r="CQ17" s="2498"/>
      <c r="CR17" s="2498"/>
      <c r="CS17" s="2498"/>
      <c r="CT17" s="2498"/>
      <c r="CU17" s="2498"/>
      <c r="CV17" s="2498"/>
      <c r="CW17" s="2498"/>
      <c r="CX17" s="2517"/>
      <c r="CY17" s="1255" t="s">
        <v>1116</v>
      </c>
      <c r="CZ17" s="1255" t="s">
        <v>1117</v>
      </c>
      <c r="DA17" s="1255" t="s">
        <v>1116</v>
      </c>
      <c r="DB17" s="1255" t="s">
        <v>1117</v>
      </c>
      <c r="DC17" s="1255" t="s">
        <v>1116</v>
      </c>
      <c r="DD17" s="1255" t="s">
        <v>1117</v>
      </c>
      <c r="DE17" s="1255" t="s">
        <v>1116</v>
      </c>
      <c r="DF17" s="1255" t="s">
        <v>1117</v>
      </c>
      <c r="DG17" s="1255" t="s">
        <v>1116</v>
      </c>
      <c r="DH17" s="1255" t="s">
        <v>1117</v>
      </c>
      <c r="DI17" s="1255" t="s">
        <v>1116</v>
      </c>
      <c r="DJ17" s="1255" t="s">
        <v>1117</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5313"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5313"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5313" customFormat="1" customHeight="1" ht="11.25" hidden="1">
      <c r="B20" s="1004"/>
      <c r="D20" s="988"/>
      <c r="E20" s="1003"/>
      <c r="F20" s="1261" t="s">
        <v>380</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5313"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5313" customFormat="1" customHeight="1" ht="12.75">
      <c r="A22" s="1005"/>
      <c r="B22" s="1005"/>
      <c r="C22" s="1005"/>
      <c r="D22" s="1005"/>
      <c r="E22" s="1005"/>
      <c r="FX22" s="1005"/>
      <c r="FY22" s="1005"/>
      <c r="FZ22" s="1005"/>
      <c r="GA22" s="1005"/>
      <c r="GB22" s="1005"/>
      <c r="GC22" s="986">
        <v>12</v>
      </c>
    </row>
    <row s="5375"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83</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252D9-B654-DB1B-14E3-0.B726CB5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712" width="9.140625" hidden="1" customWidth="1"/>
    <col min="2" max="2" style="5468" width="9.140625" hidden="1" customWidth="1"/>
    <col min="3" max="3" style="5379" width="4.00390625" customWidth="1"/>
    <col min="4" max="4" style="5468" width="6.00390625" customWidth="1"/>
    <col min="5" max="5" style="5468" width="36.00390625" customWidth="1"/>
    <col min="6" max="6" style="5468" width="9.00390625" customWidth="1"/>
    <col min="7" max="7" style="5468" width="42.421875" hidden="1" customWidth="1"/>
    <col min="8" max="8" style="5468" width="40.7109375" customWidth="1"/>
    <col min="9" max="9" style="5416" width="93.00390625" customWidth="1"/>
    <col min="10" max="17" style="5468" width="10.00390625" customWidth="1"/>
    <col min="18" max="18" style="5502" width="10.00390625" customWidth="1"/>
    <col min="19" max="19" style="5468" width="10.57421875" hidden="1"/>
  </cols>
  <sheetData>
    <row s="5416" customFormat="1" customHeight="1" ht="15" hidden="1">
      <c r="C1" s="736"/>
      <c r="H1" s="481">
        <v>4</v>
      </c>
      <c r="R1" s="484"/>
      <c r="S1" s="481" t="s">
        <v>14</v>
      </c>
    </row>
    <row customHeight="1" ht="22.5" hidden="1">
      <c r="C2" s="1992" t="s">
        <v>533</v>
      </c>
      <c r="D2" s="603"/>
      <c r="E2" s="727"/>
      <c r="F2" s="1825" t="str">
        <f>IF(TEMPLATE_SPHERE="HEAT","Гкал/час","тыс. куб. м/сутки")</f>
        <v>тыс. куб. м/сутки</v>
      </c>
      <c r="G2" s="744"/>
      <c r="H2" s="744"/>
      <c r="I2" s="353"/>
      <c r="S2" s="569">
        <v>0</v>
      </c>
    </row>
    <row s="5416"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1"/>
      <c r="F5" s="2301"/>
      <c r="G5" s="2301"/>
      <c r="H5" s="2301"/>
      <c r="I5" s="601"/>
      <c r="S5" s="569">
        <v>38</v>
      </c>
    </row>
    <row customHeight="1" ht="15.75">
      <c r="C6" s="240"/>
      <c r="D6" s="2240" t="str">
        <f>IF(org=0,"Не определено",org)</f>
        <v>Нарьян-Марское МУ ПОКиТС</v>
      </c>
      <c r="E6" s="2240"/>
      <c r="F6" s="2240"/>
      <c r="G6" s="2240"/>
      <c r="H6" s="2240"/>
      <c r="I6" s="601"/>
      <c r="S6" s="569">
        <v>15</v>
      </c>
    </row>
    <row s="5468" customFormat="1" customHeight="1" ht="15.75">
      <c r="A7" s="823"/>
      <c r="C7" s="240"/>
      <c r="D7" s="740"/>
      <c r="E7" s="740"/>
      <c r="F7" s="740"/>
      <c r="G7" s="740"/>
      <c r="H7" s="816"/>
      <c r="I7" s="601"/>
      <c r="R7" s="739"/>
      <c r="S7" s="822">
        <v>15</v>
      </c>
    </row>
    <row customHeight="1" ht="1.05">
      <c r="C8" s="240"/>
      <c r="D8" s="573"/>
      <c r="E8" s="573"/>
      <c r="F8" s="573"/>
      <c r="G8" s="573"/>
      <c r="H8" s="601" t="s">
        <v>118</v>
      </c>
      <c r="S8" s="569">
        <v>1</v>
      </c>
    </row>
    <row customHeight="1" ht="15.75">
      <c r="C9" s="240"/>
      <c r="D9" s="775"/>
      <c r="E9" s="2431" t="s">
        <v>106</v>
      </c>
      <c r="F9" s="2432"/>
      <c r="G9" s="880" t="str">
        <f>IF(G8="","",INDEX(DIFFERENTIATION_UNMERGE_VD,MATCH(G8,DIFFERENTIATION_ID_DIFF,0)))</f>
        <v/>
      </c>
      <c r="H9" s="880">
        <f>IF(H8="","",INDEX(DIFFERENTIATION_UNMERGE_VD,MATCH(H8,DIFFERENTIATION_ID_DIFF,0)))</f>
        <v>0</v>
      </c>
      <c r="I9" s="2191" t="s">
        <v>305</v>
      </c>
      <c r="S9" s="569">
        <v>15</v>
      </c>
    </row>
    <row s="5468" customFormat="1" customHeight="1" ht="15.75">
      <c r="A10" s="823"/>
      <c r="C10" s="240"/>
      <c r="D10" s="775"/>
      <c r="E10" s="2431" t="s">
        <v>568</v>
      </c>
      <c r="F10" s="2432"/>
      <c r="G10" s="880" t="str">
        <f>IF(G8="","",INDEX(DIFFERENTIATION_UNMERGE_AREA,MATCH(G8,DIFFERENTIATION_ID_DIFF,0)))</f>
        <v/>
      </c>
      <c r="H10" s="880" t="str">
        <f>IF(H8="","",INDEX(DIFFERENTIATION_UNMERGE_AREA,MATCH(H8,DIFFERENTIATION_ID_DIFF,0)))</f>
        <v/>
      </c>
      <c r="I10" s="2191"/>
      <c r="R10" s="739"/>
      <c r="S10" s="822">
        <v>15</v>
      </c>
    </row>
    <row s="5468" customFormat="1" customHeight="1" ht="15.75">
      <c r="A11" s="823"/>
      <c r="C11" s="240"/>
      <c r="D11" s="775"/>
      <c r="E11" s="2431" t="s">
        <v>569</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5468" customFormat="1" customHeight="1" ht="15.75">
      <c r="A12" s="823"/>
      <c r="C12" s="240"/>
      <c r="D12" s="2433" t="s">
        <v>304</v>
      </c>
      <c r="E12" s="2434"/>
      <c r="F12" s="2434"/>
      <c r="G12" s="951"/>
      <c r="H12" s="951"/>
      <c r="I12" s="2191"/>
      <c r="R12" s="739"/>
      <c r="S12" s="822">
        <v>15</v>
      </c>
    </row>
    <row customHeight="1" ht="35.699999999999996">
      <c r="C13" s="240"/>
      <c r="D13" s="825" t="s">
        <v>89</v>
      </c>
      <c r="E13" s="824" t="s">
        <v>306</v>
      </c>
      <c r="F13" s="824" t="s">
        <v>570</v>
      </c>
      <c r="G13" s="872" t="s">
        <v>307</v>
      </c>
      <c r="H13" s="818" t="s">
        <v>307</v>
      </c>
      <c r="I13" s="2191"/>
      <c r="S13" s="569">
        <v>34</v>
      </c>
    </row>
    <row customHeight="1" ht="15" hidden="1">
      <c r="C14" s="240"/>
      <c r="D14" s="657" t="s">
        <v>110</v>
      </c>
      <c r="E14" s="657" t="s">
        <v>111</v>
      </c>
      <c r="F14" s="657" t="s">
        <v>91</v>
      </c>
      <c r="G14" s="723" t="str">
        <f>G1&amp;".1"</f>
        <v>.1</v>
      </c>
      <c r="H14" s="723" t="str">
        <f>H1&amp;".1"</f>
        <v>4.1</v>
      </c>
      <c r="I14" s="353"/>
      <c r="S14" s="569">
        <v>0</v>
      </c>
    </row>
    <row customHeight="1" ht="15.75">
      <c r="A15" s="569"/>
      <c r="C15" s="590"/>
      <c r="D15" s="585">
        <v>1</v>
      </c>
      <c r="E15" s="1994" t="str">
        <f>TP_P_A</f>
        <v>Количество поданных заявлений </v>
      </c>
      <c r="F15" s="585" t="s">
        <v>1118</v>
      </c>
      <c r="G15" s="749"/>
      <c r="H15" s="74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69">
        <v>15</v>
      </c>
    </row>
    <row customHeight="1" ht="15.75">
      <c r="A16" s="569"/>
      <c r="C16" s="590"/>
      <c r="D16" s="585">
        <v>2</v>
      </c>
      <c r="E16" s="1994" t="str">
        <f>TP_P_B</f>
        <v>Количество исполненных заявлений </v>
      </c>
      <c r="F16" s="585" t="s">
        <v>1118</v>
      </c>
      <c r="G16" s="749"/>
      <c r="H16" s="74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1118</v>
      </c>
      <c r="G17" s="749"/>
      <c r="H17" s="749"/>
      <c r="I17" s="27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горячего водоснабжения</v>
      </c>
      <c r="F18" s="585" t="s">
        <v>310</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69">
        <v>57</v>
      </c>
    </row>
    <row customHeight="1" ht="15" hidden="1">
      <c r="D20" s="573" t="s">
        <v>1119</v>
      </c>
      <c r="E20" s="752"/>
      <c r="F20" s="573"/>
      <c r="G20" s="573"/>
      <c r="H20" s="573"/>
      <c r="I20" s="1827"/>
      <c r="S20" s="569">
        <v>0</v>
      </c>
    </row>
    <row customHeight="1" ht="29.25">
      <c r="C21" s="515"/>
      <c r="D21" s="603" t="s">
        <v>317</v>
      </c>
      <c r="E21" s="734"/>
      <c r="F21" s="1825" t="str">
        <f>IF(TEMPLATE_SPHERE="HEAT","Гкал/час","тыс. куб. м/сутки")</f>
        <v>тыс. куб. м/сутки</v>
      </c>
      <c r="G21" s="744"/>
      <c r="H21" s="744"/>
      <c r="I21" s="223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69">
        <v>28</v>
      </c>
    </row>
    <row customHeight="1" ht="15.75">
      <c r="A22" s="569"/>
      <c r="C22" s="569"/>
      <c r="D22" s="411"/>
      <c r="E22" s="644" t="s">
        <v>1120</v>
      </c>
      <c r="F22" s="636"/>
      <c r="G22" s="636"/>
      <c r="H22" s="636"/>
      <c r="I22" s="2235"/>
      <c r="R22" s="569"/>
      <c r="S22" s="569">
        <v>15</v>
      </c>
    </row>
    <row customHeight="1" ht="22.5" hidden="1">
      <c r="A23" s="513" t="s">
        <v>83</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67562-EDC6-A2F5-7E9D-0.DEAC413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151" width="9.140625" hidden="1" customWidth="1"/>
    <col min="2" max="2" style="5416" width="9.140625" hidden="1" customWidth="1"/>
    <col min="3" max="3" style="5437" width="3.00390625" customWidth="1"/>
    <col min="4" max="4" style="5468" width="6.00390625" customWidth="1"/>
    <col min="5" max="6" style="5468" width="64.00390625" customWidth="1"/>
    <col min="7" max="7" style="5468" width="140.00390625" customWidth="1"/>
    <col min="8" max="8" style="5468" width="10.00390625" customWidth="1"/>
    <col min="9" max="10" style="5419" width="10.00390625" customWidth="1"/>
    <col min="11" max="16" style="5468" width="10.00390625" customWidth="1"/>
    <col min="17" max="17" style="546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19"/>
      <c r="F5" s="2519"/>
      <c r="G5" s="2520"/>
      <c r="Q5" s="147">
        <v>28</v>
      </c>
    </row>
    <row s="5468" customFormat="1" customHeight="1" ht="18.75">
      <c r="A6" s="946"/>
      <c r="B6" s="481"/>
      <c r="C6" s="440"/>
      <c r="D6" s="2521" t="str">
        <f>IF(org=0,"Не определено",org)</f>
        <v>Нарьян-Марское МУ ПОКиТС</v>
      </c>
      <c r="E6" s="2522"/>
      <c r="F6" s="2522"/>
      <c r="G6" s="2523"/>
      <c r="I6" s="564"/>
      <c r="J6" s="564"/>
      <c r="Q6" s="822">
        <v>18</v>
      </c>
    </row>
    <row customHeight="1" ht="14.699999999999998">
      <c r="C7" s="160"/>
      <c r="D7" s="148"/>
      <c r="E7" s="159"/>
      <c r="F7" s="816"/>
      <c r="G7" s="257"/>
      <c r="Q7" s="147">
        <v>14</v>
      </c>
    </row>
    <row s="5468" customFormat="1" customHeight="1" ht="1.05">
      <c r="A8" s="1733"/>
      <c r="B8" s="1224"/>
      <c r="C8" s="440"/>
      <c r="D8" s="427"/>
      <c r="E8" s="453"/>
      <c r="F8" s="816"/>
      <c r="G8" s="257"/>
      <c r="I8" s="1688"/>
      <c r="J8" s="1688"/>
      <c r="Q8" s="1695">
        <v>1</v>
      </c>
    </row>
    <row customHeight="1" ht="14.699999999999998">
      <c r="C9" s="160"/>
      <c r="D9" s="2273" t="s">
        <v>304</v>
      </c>
      <c r="E9" s="2273"/>
      <c r="F9" s="2273"/>
      <c r="G9" s="2453" t="s">
        <v>305</v>
      </c>
      <c r="Q9" s="147">
        <v>14</v>
      </c>
    </row>
    <row customHeight="1" ht="24">
      <c r="C10" s="160"/>
      <c r="D10" s="169" t="s">
        <v>89</v>
      </c>
      <c r="E10" s="172" t="s">
        <v>306</v>
      </c>
      <c r="F10" s="172" t="s">
        <v>394</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2" t="s">
        <v>310</v>
      </c>
      <c r="G12" s="215"/>
      <c r="Q12" s="147">
        <v>62</v>
      </c>
    </row>
    <row customHeight="1" ht="24">
      <c r="A13" s="256"/>
      <c r="C13" s="160"/>
      <c r="D13" s="211" t="s">
        <v>1025</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310</v>
      </c>
      <c r="G13" s="215"/>
      <c r="Q13" s="147">
        <v>23</v>
      </c>
    </row>
    <row customHeight="1" ht="14.699999999999998">
      <c r="A14" s="256"/>
      <c r="C14" s="160"/>
      <c r="D14" s="211" t="s">
        <v>1061</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1121</v>
      </c>
      <c r="F15" s="265"/>
      <c r="G15" s="2235"/>
      <c r="Q15" s="147">
        <v>15</v>
      </c>
    </row>
    <row customHeight="1" ht="14.699999999999998">
      <c r="A16" s="256"/>
      <c r="C16" s="160"/>
      <c r="D16" s="211" t="s">
        <v>1027</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2" t="s">
        <v>310</v>
      </c>
      <c r="G16" s="401"/>
      <c r="Q16" s="147">
        <v>14</v>
      </c>
    </row>
    <row customHeight="1" ht="14.699999999999998">
      <c r="A17" s="256"/>
      <c r="C17" s="160"/>
      <c r="D17" s="211" t="s">
        <v>1069</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7">
        <v>14</v>
      </c>
    </row>
    <row s="5468" customFormat="1" customHeight="1" ht="22.049999999999997">
      <c r="A18" s="407"/>
      <c r="B18" s="210"/>
      <c r="C18" s="371"/>
      <c r="D18" s="411"/>
      <c r="E18" s="413" t="s">
        <v>1122</v>
      </c>
      <c r="F18" s="402"/>
      <c r="G18" s="2235"/>
      <c r="I18" s="414"/>
      <c r="J18" s="414"/>
      <c r="Q18" s="406">
        <v>21</v>
      </c>
    </row>
    <row s="5468" customFormat="1" customHeight="1" ht="256.5" hidden="1">
      <c r="A19" s="407"/>
      <c r="B19" s="481"/>
      <c r="C19" s="440"/>
      <c r="D19" s="948" t="s">
        <v>1029</v>
      </c>
      <c r="E19" s="947" t="s">
        <v>1123</v>
      </c>
      <c r="F19" s="449"/>
      <c r="G19" s="401" t="s">
        <v>1124</v>
      </c>
      <c r="I19" s="564"/>
      <c r="J19" s="564"/>
      <c r="Q19" s="822">
        <v>0</v>
      </c>
    </row>
    <row s="5468" customFormat="1" customHeight="1" ht="14.699999999999998">
      <c r="A20" s="407"/>
      <c r="B20" s="210"/>
      <c r="C20" s="371"/>
      <c r="D20" s="949">
        <v>2</v>
      </c>
      <c r="E20" s="394" t="s">
        <v>1125</v>
      </c>
      <c r="F20" s="262" t="s">
        <v>310</v>
      </c>
      <c r="G20" s="401"/>
      <c r="I20" s="414"/>
      <c r="J20" s="414"/>
      <c r="Q20" s="406">
        <v>14</v>
      </c>
    </row>
    <row s="5468" customFormat="1" customHeight="1" ht="18.75" hidden="1">
      <c r="A21" s="407"/>
      <c r="B21" s="210"/>
      <c r="C21" s="371"/>
      <c r="D21" s="397" t="s">
        <v>640</v>
      </c>
      <c r="E21" s="396"/>
      <c r="F21" s="395"/>
      <c r="G21" s="405"/>
      <c r="H21" s="398"/>
      <c r="I21" s="414"/>
      <c r="J21" s="414"/>
      <c r="Q21" s="406">
        <v>0</v>
      </c>
    </row>
    <row customHeight="1" ht="15.75">
      <c r="A22" s="256"/>
      <c r="C22" s="160"/>
      <c r="D22" s="173"/>
      <c r="E22" s="267" t="s">
        <v>326</v>
      </c>
      <c r="F22" s="402"/>
      <c r="G22" s="403"/>
      <c r="Q22" s="147">
        <v>15</v>
      </c>
    </row>
    <row s="5468" customFormat="1" customHeight="1" ht="22.5" hidden="1">
      <c r="A23" s="407"/>
      <c r="B23" s="1224"/>
      <c r="C23" s="440"/>
      <c r="D23" s="1737" t="s">
        <v>111</v>
      </c>
      <c r="E23" s="261" t="s">
        <v>1126</v>
      </c>
      <c r="F23" s="1734" t="s">
        <v>310</v>
      </c>
      <c r="G23" s="409"/>
      <c r="I23" s="1688"/>
      <c r="J23" s="1688"/>
      <c r="Q23" s="1695">
        <v>0</v>
      </c>
    </row>
    <row s="5468" customFormat="1" customHeight="1" ht="14.25" hidden="1">
      <c r="A24" s="407"/>
      <c r="B24" s="1224"/>
      <c r="C24" s="440"/>
      <c r="D24" s="1737" t="s">
        <v>712</v>
      </c>
      <c r="E24" s="1736" t="s">
        <v>1127</v>
      </c>
      <c r="F24" s="1734" t="s">
        <v>310</v>
      </c>
      <c r="G24" s="401"/>
      <c r="I24" s="1688"/>
      <c r="J24" s="1688"/>
      <c r="Q24" s="1695">
        <v>0</v>
      </c>
    </row>
    <row s="5468" customFormat="1" customHeight="1" ht="14.25" hidden="1">
      <c r="A25" s="407"/>
      <c r="B25" s="1224"/>
      <c r="C25" s="440"/>
      <c r="D25" s="1737" t="s">
        <v>715</v>
      </c>
      <c r="E25" s="259"/>
      <c r="F25" s="449"/>
      <c r="G25" s="2233" t="s">
        <v>1128</v>
      </c>
      <c r="I25" s="1688"/>
      <c r="J25" s="1688"/>
      <c r="Q25" s="1695">
        <v>0</v>
      </c>
    </row>
    <row s="5468" customFormat="1" customHeight="1" ht="22.5" hidden="1">
      <c r="A26" s="407"/>
      <c r="B26" s="1224"/>
      <c r="C26" s="440"/>
      <c r="D26" s="411"/>
      <c r="E26" s="413" t="s">
        <v>1129</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83</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30E77-150A-414E-64FA-0.CB0A74F}" mc:Ignorable="x14ac xr xr2 xr3">
  <sheetPr>
    <tabColor theme="6" tint="0.4"/>
  </sheetPr>
  <dimension ref="A1:M43"/>
  <sheetViews>
    <sheetView topLeftCell="A1" showGridLines="0" zoomScale="90" workbookViewId="0">
      <selection activeCell="I18" sqref="I18:I19"/>
    </sheetView>
  </sheetViews>
  <sheetFormatPr defaultColWidth="10.57421875" customHeight="1" defaultRowHeight="14.25"/>
  <cols>
    <col min="1" max="1" style="4339" width="9.140625" hidden="1" customWidth="1"/>
    <col min="2" max="2" style="5416" width="9.140625" hidden="1" customWidth="1"/>
    <col min="3" max="3" style="5437" width="3.00390625" customWidth="1"/>
    <col min="4" max="4" style="5468" width="6.00390625" customWidth="1"/>
    <col min="5" max="5" style="5468" width="63.00390625" customWidth="1"/>
    <col min="6" max="6" style="5468" width="1.7109375" hidden="1" customWidth="1"/>
    <col min="7" max="8" style="5468" width="35.00390625" customWidth="1"/>
    <col min="9" max="9" style="5468" width="91.00390625" customWidth="1"/>
    <col min="10" max="10" style="5468" width="68.00390625" customWidth="1"/>
    <col min="11" max="12" style="5419" width="10.00390625" customWidth="1"/>
    <col min="13" max="13" style="5468" width="10.57421875" hidden="1"/>
  </cols>
  <sheetData>
    <row customHeight="1" ht="22.5" hidden="1">
      <c r="M1" s="147" t="s">
        <v>14</v>
      </c>
    </row>
    <row s="5468" customFormat="1" customHeight="1" ht="18.75" hidden="1">
      <c r="A2" s="1747"/>
      <c r="B2" s="1224"/>
      <c r="C2" s="1794" t="s">
        <v>533</v>
      </c>
      <c r="D2" s="1737"/>
      <c r="E2" s="263"/>
      <c r="F2" s="1734"/>
      <c r="G2" s="1734" t="s">
        <v>310</v>
      </c>
      <c r="H2" s="1225"/>
      <c r="K2" s="1688"/>
      <c r="L2" s="1688"/>
      <c r="M2" s="1695">
        <v>0</v>
      </c>
    </row>
    <row s="5468" customFormat="1" customHeight="1" ht="14.25" hidden="1">
      <c r="A3" s="1426"/>
      <c r="B3" s="1224"/>
      <c r="C3" s="408"/>
      <c r="K3" s="1688"/>
      <c r="L3" s="1688"/>
      <c r="M3" s="1695">
        <v>0</v>
      </c>
    </row>
    <row s="5468" customFormat="1" customHeight="1" ht="18.75" hidden="1">
      <c r="A4" s="1747"/>
      <c r="B4" s="1224"/>
      <c r="C4" s="1794" t="s">
        <v>533</v>
      </c>
      <c r="D4" s="1737"/>
      <c r="E4" s="269" t="s">
        <v>1130</v>
      </c>
      <c r="F4" s="1734"/>
      <c r="G4" s="321"/>
      <c r="H4" s="1734" t="s">
        <v>310</v>
      </c>
      <c r="K4" s="1688"/>
      <c r="L4" s="1688"/>
      <c r="M4" s="1695">
        <v>0</v>
      </c>
    </row>
    <row s="5468" customFormat="1" customHeight="1" ht="14.25" hidden="1">
      <c r="A5" s="1426"/>
      <c r="B5" s="1224"/>
      <c r="C5" s="408"/>
      <c r="K5" s="1688"/>
      <c r="L5" s="1688"/>
      <c r="M5" s="1695">
        <v>0</v>
      </c>
    </row>
    <row s="5468" customFormat="1" customHeight="1" ht="18.75" hidden="1">
      <c r="A6" s="1747"/>
      <c r="B6" s="1224"/>
      <c r="C6" s="1794" t="s">
        <v>533</v>
      </c>
      <c r="D6" s="1737"/>
      <c r="E6" s="270" t="s">
        <v>1131</v>
      </c>
      <c r="F6" s="1734"/>
      <c r="G6" s="321"/>
      <c r="H6" s="1734" t="s">
        <v>310</v>
      </c>
      <c r="K6" s="1688"/>
      <c r="L6" s="1688"/>
      <c r="M6" s="1695">
        <v>0</v>
      </c>
    </row>
    <row s="5468" customFormat="1" customHeight="1" ht="14.25" hidden="1">
      <c r="A7" s="1426"/>
      <c r="B7" s="1224"/>
      <c r="C7" s="408"/>
      <c r="K7" s="1688"/>
      <c r="L7" s="1688"/>
      <c r="M7" s="1695">
        <v>0</v>
      </c>
    </row>
    <row s="5468" customFormat="1" customHeight="1" ht="18.75" hidden="1">
      <c r="A8" s="1747"/>
      <c r="B8" s="1224"/>
      <c r="C8" s="1794" t="s">
        <v>533</v>
      </c>
      <c r="D8" s="1737"/>
      <c r="E8" s="270" t="s">
        <v>1132</v>
      </c>
      <c r="F8" s="1734"/>
      <c r="G8" s="321"/>
      <c r="H8" s="1734" t="s">
        <v>310</v>
      </c>
      <c r="K8" s="1688"/>
      <c r="L8" s="1688"/>
      <c r="M8" s="1695">
        <v>0</v>
      </c>
    </row>
    <row s="5468" customFormat="1" customHeight="1" ht="14.25" hidden="1">
      <c r="A9" s="1426"/>
      <c r="B9" s="1224"/>
      <c r="C9" s="408"/>
      <c r="K9" s="1688"/>
      <c r="L9" s="1688"/>
      <c r="M9" s="1695">
        <v>0</v>
      </c>
    </row>
    <row s="5468" customFormat="1" customHeight="1" ht="18.75" hidden="1">
      <c r="A10" s="1747"/>
      <c r="B10" s="1224"/>
      <c r="C10" s="1794" t="s">
        <v>533</v>
      </c>
      <c r="D10" s="1737"/>
      <c r="E10" s="270" t="s">
        <v>1133</v>
      </c>
      <c r="F10" s="1734"/>
      <c r="G10" s="1738"/>
      <c r="H10" s="1734" t="s">
        <v>310</v>
      </c>
      <c r="K10" s="1688"/>
      <c r="L10" s="1688" t="s">
        <v>1134</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19"/>
      <c r="F14" s="2519"/>
      <c r="G14" s="2519"/>
      <c r="H14" s="2520"/>
      <c r="J14" s="1695"/>
      <c r="M14" s="147">
        <v>28</v>
      </c>
    </row>
    <row s="5468" customFormat="1" customHeight="1" ht="14.699999999999998">
      <c r="A15" s="1426"/>
      <c r="B15" s="1224"/>
      <c r="C15" s="440"/>
      <c r="D15" s="2521" t="str">
        <f>IF(org=0,"Не определено",org)</f>
        <v>Нарьян-Марское МУ ПОКиТС</v>
      </c>
      <c r="E15" s="2522"/>
      <c r="F15" s="2522"/>
      <c r="G15" s="2522"/>
      <c r="H15" s="2523"/>
      <c r="J15" s="916"/>
      <c r="K15" s="1688"/>
      <c r="L15" s="1688"/>
      <c r="M15" s="1695">
        <v>14</v>
      </c>
    </row>
    <row customHeight="1" ht="14.699999999999998">
      <c r="C16" s="160"/>
      <c r="D16" s="148"/>
      <c r="E16" s="159"/>
      <c r="F16" s="159"/>
      <c r="G16" s="159"/>
      <c r="H16" s="816"/>
      <c r="I16" s="257"/>
      <c r="M16" s="147">
        <v>14</v>
      </c>
    </row>
    <row s="5468" customFormat="1" customHeight="1" ht="14.25" hidden="1">
      <c r="A17" s="1426"/>
      <c r="B17" s="1224"/>
      <c r="C17" s="440"/>
      <c r="D17" s="427"/>
      <c r="E17" s="453"/>
      <c r="F17" s="453"/>
      <c r="G17" s="453"/>
      <c r="H17" s="816"/>
      <c r="I17" s="257"/>
      <c r="K17" s="1688"/>
      <c r="L17" s="1688"/>
      <c r="M17" s="1695">
        <v>0</v>
      </c>
    </row>
    <row customHeight="1" ht="22.049999999999997">
      <c r="C18" s="160"/>
      <c r="D18" s="2273" t="s">
        <v>304</v>
      </c>
      <c r="E18" s="2273"/>
      <c r="F18" s="2273"/>
      <c r="G18" s="2273"/>
      <c r="H18" s="2273"/>
      <c r="I18" s="2453" t="s">
        <v>305</v>
      </c>
      <c r="M18" s="147">
        <v>21</v>
      </c>
    </row>
    <row customHeight="1" ht="22.049999999999997">
      <c r="C19" s="160"/>
      <c r="D19" s="169" t="s">
        <v>89</v>
      </c>
      <c r="E19" s="172" t="s">
        <v>306</v>
      </c>
      <c r="F19" s="172"/>
      <c r="G19" s="172" t="s">
        <v>307</v>
      </c>
      <c r="H19" s="172" t="s">
        <v>394</v>
      </c>
      <c r="I19" s="2453"/>
      <c r="M19" s="147">
        <v>21</v>
      </c>
    </row>
    <row customHeight="1" ht="12" hidden="1">
      <c r="C20" s="160"/>
      <c r="D20" s="151"/>
      <c r="E20" s="151"/>
      <c r="F20" s="151"/>
      <c r="G20" s="151"/>
      <c r="H20" s="151"/>
      <c r="I20" s="151"/>
      <c r="M20" s="147">
        <v>0</v>
      </c>
    </row>
    <row customHeight="1" ht="14.699999999999998">
      <c r="A21" s="1747"/>
      <c r="C21" s="160"/>
      <c r="D21" s="211">
        <v>1</v>
      </c>
      <c r="E21" s="2525" t="s">
        <v>1135</v>
      </c>
      <c r="F21" s="2525"/>
      <c r="G21" s="2525"/>
      <c r="H21" s="2525"/>
      <c r="I21" s="272"/>
      <c r="M21" s="147">
        <v>14</v>
      </c>
    </row>
    <row customHeight="1" ht="21">
      <c r="A22" s="1747"/>
      <c r="C22" s="160"/>
      <c r="D22" s="211" t="s">
        <v>1025</v>
      </c>
      <c r="E22" s="258" t="s">
        <v>1136</v>
      </c>
      <c r="F22" s="262"/>
      <c r="G22" s="5446">
        <v>46034.54950231482</v>
      </c>
      <c r="H22" s="262" t="s">
        <v>310</v>
      </c>
      <c r="I22" s="215" t="s">
        <v>1137</v>
      </c>
      <c r="M22" s="147">
        <v>20</v>
      </c>
    </row>
    <row customHeight="1" ht="60">
      <c r="A23" s="1747"/>
      <c r="C23" s="160"/>
      <c r="D23" s="211" t="s">
        <v>1027</v>
      </c>
      <c r="E23" s="258" t="s">
        <v>1138</v>
      </c>
      <c r="F23" s="262"/>
      <c r="G23" s="5447" t="s">
        <v>1139</v>
      </c>
      <c r="H23" s="6220" t="s">
        <v>1140</v>
      </c>
      <c r="I23" s="322" t="s">
        <v>1141</v>
      </c>
      <c r="M23" s="147">
        <v>57</v>
      </c>
    </row>
    <row customHeight="1" ht="1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2"/>
      <c r="G24" s="262" t="s">
        <v>310</v>
      </c>
      <c r="H24" s="6220" t="s">
        <v>1142</v>
      </c>
      <c r="I24" s="323" t="s">
        <v>635</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5">
      <c r="A26" s="1747"/>
      <c r="C26" s="160"/>
      <c r="D26" s="211" t="s">
        <v>328</v>
      </c>
      <c r="E26" s="263" t="s">
        <v>1143</v>
      </c>
      <c r="F26" s="262"/>
      <c r="G26" s="262" t="s">
        <v>310</v>
      </c>
      <c r="H26" s="6220" t="s">
        <v>1142</v>
      </c>
      <c r="I26" s="2233" t="s">
        <v>1144</v>
      </c>
      <c r="M26" s="147">
        <v>14</v>
      </c>
    </row>
    <row customHeight="1" ht="15.75">
      <c r="A27" s="1747" t="s">
        <v>110</v>
      </c>
      <c r="C27" s="160"/>
      <c r="D27" s="173"/>
      <c r="E27" s="267" t="s">
        <v>326</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4"/>
      <c r="G28" s="2524"/>
      <c r="H28" s="2524"/>
      <c r="I28" s="320"/>
      <c r="M28" s="147">
        <v>38</v>
      </c>
    </row>
    <row customHeight="1" ht="21">
      <c r="A29" s="1747"/>
      <c r="C29" s="160"/>
      <c r="D29" s="211" t="s">
        <v>757</v>
      </c>
      <c r="E29" s="269" t="s">
        <v>1130</v>
      </c>
      <c r="F29" s="262"/>
      <c r="G29" s="321" t="s">
        <v>1145</v>
      </c>
      <c r="H29" s="262" t="s">
        <v>310</v>
      </c>
      <c r="I29" s="2233" t="s">
        <v>1146</v>
      </c>
      <c r="M29" s="147">
        <v>20</v>
      </c>
    </row>
    <row customHeight="1" ht="15.75">
      <c r="A30" s="1747" t="s">
        <v>111</v>
      </c>
      <c r="C30" s="160"/>
      <c r="D30" s="173"/>
      <c r="E30" s="267" t="s">
        <v>326</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24"/>
      <c r="G31" s="2524"/>
      <c r="H31" s="2524"/>
      <c r="I31" s="320"/>
      <c r="M31" s="147">
        <v>30</v>
      </c>
    </row>
    <row customHeight="1" ht="27.299999999999997">
      <c r="A32" s="1747"/>
      <c r="C32" s="160"/>
      <c r="D32" s="211" t="s">
        <v>317</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67"/>
      <c r="G32" s="2467"/>
      <c r="H32" s="2467"/>
      <c r="I32" s="320"/>
      <c r="M32" s="147">
        <v>26</v>
      </c>
    </row>
    <row customHeight="1" ht="15">
      <c r="A33" s="1747"/>
      <c r="C33" s="160"/>
      <c r="D33" s="211" t="s">
        <v>1147</v>
      </c>
      <c r="E33" s="270" t="s">
        <v>1131</v>
      </c>
      <c r="F33" s="262"/>
      <c r="G33" s="321" t="s">
        <v>1148</v>
      </c>
      <c r="H33" s="262" t="s">
        <v>310</v>
      </c>
      <c r="I33" s="2233" t="s">
        <v>1149</v>
      </c>
      <c r="M33" s="147">
        <v>14</v>
      </c>
    </row>
    <row customHeight="1" ht="15.75">
      <c r="A34" s="1747" t="s">
        <v>91</v>
      </c>
      <c r="C34" s="160"/>
      <c r="D34" s="173"/>
      <c r="E34" s="268" t="s">
        <v>326</v>
      </c>
      <c r="F34" s="264"/>
      <c r="G34" s="264"/>
      <c r="H34" s="265"/>
      <c r="I34" s="2235"/>
      <c r="M34" s="147">
        <v>15</v>
      </c>
    </row>
    <row customHeight="1" ht="25.2">
      <c r="A35" s="1747"/>
      <c r="C35" s="160"/>
      <c r="D35" s="211" t="s">
        <v>885</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7"/>
      <c r="G35" s="2467"/>
      <c r="H35" s="2467"/>
      <c r="I35" s="320"/>
      <c r="M35" s="147">
        <v>24</v>
      </c>
    </row>
    <row customHeight="1" ht="15">
      <c r="A36" s="1747"/>
      <c r="C36" s="160"/>
      <c r="D36" s="211" t="s">
        <v>1150</v>
      </c>
      <c r="E36" s="270" t="s">
        <v>1132</v>
      </c>
      <c r="F36" s="262"/>
      <c r="G36" s="321" t="s">
        <v>71</v>
      </c>
      <c r="H36" s="262" t="s">
        <v>310</v>
      </c>
      <c r="I36" s="2207" t="s">
        <v>1151</v>
      </c>
      <c r="M36" s="147">
        <v>14</v>
      </c>
    </row>
    <row customHeight="1" ht="15.75">
      <c r="A37" s="1747" t="s">
        <v>92</v>
      </c>
      <c r="C37" s="160"/>
      <c r="D37" s="173"/>
      <c r="E37" s="268" t="s">
        <v>326</v>
      </c>
      <c r="F37" s="264"/>
      <c r="G37" s="264"/>
      <c r="H37" s="265"/>
      <c r="I37" s="2207"/>
      <c r="M37" s="147">
        <v>15</v>
      </c>
    </row>
    <row customHeight="1" ht="27.299999999999997">
      <c r="A38" s="1747"/>
      <c r="C38" s="160"/>
      <c r="D38" s="211" t="s">
        <v>886</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7"/>
      <c r="G38" s="2467"/>
      <c r="H38" s="2467"/>
      <c r="I38" s="320"/>
      <c r="M38" s="147">
        <v>26</v>
      </c>
    </row>
    <row customHeight="1" ht="15">
      <c r="A39" s="1747"/>
      <c r="C39" s="160"/>
      <c r="D39" s="211" t="s">
        <v>887</v>
      </c>
      <c r="E39" s="270" t="s">
        <v>1133</v>
      </c>
      <c r="F39" s="262"/>
      <c r="G39" s="271" t="s">
        <v>1152</v>
      </c>
      <c r="H39" s="262" t="s">
        <v>310</v>
      </c>
      <c r="I39" s="2233" t="s">
        <v>1153</v>
      </c>
      <c r="L39" s="219" t="s">
        <v>1134</v>
      </c>
      <c r="M39" s="147">
        <v>14</v>
      </c>
    </row>
    <row customHeight="1" ht="15.75">
      <c r="A40" s="1747" t="s">
        <v>112</v>
      </c>
      <c r="C40" s="160"/>
      <c r="D40" s="173"/>
      <c r="E40" s="268" t="s">
        <v>326</v>
      </c>
      <c r="F40" s="264"/>
      <c r="G40" s="264"/>
      <c r="H40" s="265"/>
      <c r="I40" s="2235"/>
      <c r="M40" s="147">
        <v>15</v>
      </c>
    </row>
    <row s="5930" customFormat="1" customHeight="1" ht="3">
      <c r="A41" s="1747"/>
      <c r="K41" s="260"/>
      <c r="L41" s="260"/>
      <c r="M41" s="204">
        <v>3</v>
      </c>
    </row>
    <row customHeight="1" ht="26.25">
      <c r="D42" s="1745" t="s">
        <v>807</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49"/>
      <c r="G42" s="2349"/>
      <c r="H42" s="2349"/>
      <c r="I42" s="2349"/>
      <c r="M42" s="147">
        <v>25</v>
      </c>
    </row>
    <row customHeight="1" ht="22.5" hidden="1">
      <c r="A43" s="1426" t="s">
        <v>83</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F1AA99FB-E441-2D9D-2E42-0.5606AA73}"/>
    <hyperlink ref="H23" r:id="rId3" xr:uid="{783F4ADD-BACE-E232-AC0A-0.C78CEB3B}"/>
    <hyperlink ref="H24" r:id="rId4" xr:uid="{6263A8EB-A7A1-A36D-759C-0.C58870E3}"/>
    <hyperlink ref="H26" r:id="rId5" xr:uid="{.5CBC512-ED8F-0AB2-3D14-0.EE489F8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266DC-131A-FEE9-539F-0.E3CED5C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5459" width="25.140625" hidden="1" customWidth="1"/>
    <col min="3" max="3" style="5435" width="9.140625" hidden="1" customWidth="1"/>
    <col min="4" max="4" style="5437" width="3.00390625" customWidth="1"/>
    <col min="5" max="5" style="5468" width="6.00390625" customWidth="1"/>
    <col min="6" max="6" style="5468" width="46.7109375" customWidth="1"/>
    <col min="7" max="7" style="5468" width="35.00390625" customWidth="1"/>
    <col min="8" max="8" style="5468" width="3.00390625" customWidth="1"/>
    <col min="9" max="10" style="5468" width="11.00390625" customWidth="1"/>
    <col min="11" max="12" style="5468" width="35.00390625" customWidth="1"/>
    <col min="13" max="13" style="5468" width="84.00390625" customWidth="1"/>
    <col min="14" max="14" style="5468" width="10.00390625" customWidth="1"/>
    <col min="15" max="16" style="5419" width="10.00390625" customWidth="1"/>
    <col min="17" max="33" style="5468" width="10.00390625" customWidth="1"/>
    <col min="34" max="34" style="5468" width="10.57421875" hidden="1"/>
  </cols>
  <sheetData>
    <row s="546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5468" customFormat="1" customHeight="1" ht="18.75" hidden="1">
      <c r="A2" s="1844" t="s">
        <v>156</v>
      </c>
      <c r="B2" s="1844" t="s">
        <v>157</v>
      </c>
      <c r="C2" s="433"/>
      <c r="D2" s="408"/>
      <c r="E2" s="1095"/>
      <c r="F2" s="1095"/>
      <c r="G2" s="2491" t="str">
        <f>INDEX(PT_DIFFERENTIATION_NTAR,MATCH(B2,PT_DIFFERENTIATION_NTAR_ID,0))</f>
        <v/>
      </c>
      <c r="H2" s="1928"/>
      <c r="I2" s="1803"/>
      <c r="J2" s="1837"/>
      <c r="K2" s="1929"/>
      <c r="L2" s="1928" t="s">
        <v>310</v>
      </c>
      <c r="M2" s="1939"/>
      <c r="N2" s="398"/>
      <c r="O2" s="1688"/>
      <c r="P2" s="1688"/>
      <c r="AH2" s="1695">
        <v>0</v>
      </c>
    </row>
    <row s="5468" customFormat="1" customHeight="1" ht="18.75" hidden="1">
      <c r="A3" s="1844"/>
      <c r="B3" s="1844"/>
      <c r="C3" s="433" t="s">
        <v>1154</v>
      </c>
      <c r="D3" s="408"/>
      <c r="E3" s="1095"/>
      <c r="F3" s="1095"/>
      <c r="G3" s="2491"/>
      <c r="H3" s="1564"/>
      <c r="I3" s="715" t="s">
        <v>1155</v>
      </c>
      <c r="J3" s="635"/>
      <c r="K3" s="1564"/>
      <c r="L3" s="278"/>
      <c r="M3" s="1939"/>
      <c r="N3" s="398"/>
      <c r="O3" s="1688"/>
      <c r="P3" s="1688"/>
      <c r="AH3" s="1695">
        <v>0</v>
      </c>
    </row>
    <row s="546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5468" customFormat="1" customHeight="1" ht="18.75" hidden="1">
      <c r="A5" s="1844" t="s">
        <v>156</v>
      </c>
      <c r="B5" s="1844" t="s">
        <v>157</v>
      </c>
      <c r="C5" s="433"/>
      <c r="D5" s="408"/>
      <c r="E5" s="1095"/>
      <c r="F5" s="1095"/>
      <c r="G5" s="2491" t="str">
        <f>INDEX(PT_DIFFERENTIATION_NTAR,MATCH(B5,PT_DIFFERENTIATION_NTAR_ID,0))</f>
        <v/>
      </c>
      <c r="H5" s="1928"/>
      <c r="I5" s="1803"/>
      <c r="J5" s="1837"/>
      <c r="K5" s="1842"/>
      <c r="L5" s="1928" t="s">
        <v>310</v>
      </c>
      <c r="M5" s="1939"/>
      <c r="N5" s="398"/>
      <c r="O5" s="1688"/>
      <c r="P5" s="1688"/>
      <c r="AH5" s="1695">
        <v>0</v>
      </c>
    </row>
    <row s="5468" customFormat="1" customHeight="1" ht="18.75" hidden="1">
      <c r="A6" s="1844"/>
      <c r="B6" s="1844"/>
      <c r="C6" s="433" t="s">
        <v>1156</v>
      </c>
      <c r="D6" s="408"/>
      <c r="E6" s="1095"/>
      <c r="F6" s="1095"/>
      <c r="G6" s="2491"/>
      <c r="H6" s="1564"/>
      <c r="I6" s="715" t="s">
        <v>1155</v>
      </c>
      <c r="J6" s="635"/>
      <c r="K6" s="1564"/>
      <c r="L6" s="278"/>
      <c r="M6" s="1939"/>
      <c r="N6" s="398"/>
      <c r="O6" s="1688"/>
      <c r="P6" s="1688"/>
      <c r="AH6" s="1695">
        <v>0</v>
      </c>
    </row>
    <row s="546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5468" customFormat="1" customHeight="1" ht="56.25" hidden="1">
      <c r="A8" s="1844"/>
      <c r="B8" s="1844"/>
      <c r="C8" s="433"/>
      <c r="D8" s="408"/>
      <c r="E8" s="1095"/>
      <c r="F8" s="1095"/>
      <c r="G8" s="1095"/>
      <c r="H8" s="1835"/>
      <c r="I8" s="1803"/>
      <c r="J8" s="1837"/>
      <c r="K8" s="1929"/>
      <c r="L8" s="1835" t="s">
        <v>310</v>
      </c>
      <c r="M8" s="1939"/>
      <c r="N8" s="398"/>
      <c r="O8" s="1688"/>
      <c r="P8" s="1688"/>
      <c r="AH8" s="1695">
        <v>0</v>
      </c>
    </row>
    <row customHeight="1" ht="14.25" hidden="1">
      <c r="T9" s="461"/>
      <c r="AG9" s="319"/>
      <c r="AH9" s="438">
        <v>0</v>
      </c>
    </row>
    <row s="5468" customFormat="1" customHeight="1" ht="56.25" hidden="1">
      <c r="A10" s="1844"/>
      <c r="B10" s="1844"/>
      <c r="C10" s="433"/>
      <c r="D10" s="408"/>
      <c r="E10" s="1095"/>
      <c r="F10" s="1095"/>
      <c r="G10" s="1095"/>
      <c r="H10" s="1834"/>
      <c r="I10" s="1803"/>
      <c r="J10" s="1837"/>
      <c r="K10" s="1842"/>
      <c r="L10" s="1835" t="s">
        <v>310</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46008.48059027778</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58</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304</v>
      </c>
      <c r="F19" s="2273"/>
      <c r="G19" s="2273"/>
      <c r="H19" s="2273"/>
      <c r="I19" s="2273"/>
      <c r="J19" s="2273"/>
      <c r="K19" s="2273"/>
      <c r="L19" s="2273"/>
      <c r="M19" s="2453" t="s">
        <v>305</v>
      </c>
      <c r="AH19" s="438">
        <v>21</v>
      </c>
    </row>
    <row customHeight="1" ht="22.049999999999997">
      <c r="D20" s="440"/>
      <c r="E20" s="2341" t="s">
        <v>89</v>
      </c>
      <c r="F20" s="2288" t="s">
        <v>123</v>
      </c>
      <c r="G20" s="2288" t="s">
        <v>124</v>
      </c>
      <c r="H20" s="2450" t="s">
        <v>1157</v>
      </c>
      <c r="I20" s="2451"/>
      <c r="J20" s="2497"/>
      <c r="K20" s="2288" t="s">
        <v>307</v>
      </c>
      <c r="L20" s="2288" t="s">
        <v>394</v>
      </c>
      <c r="M20" s="2453"/>
      <c r="AH20" s="438">
        <v>21</v>
      </c>
    </row>
    <row customHeight="1" ht="22.049999999999997">
      <c r="D21" s="440"/>
      <c r="E21" s="2343"/>
      <c r="F21" s="2289"/>
      <c r="G21" s="2289"/>
      <c r="H21" s="2282" t="s">
        <v>1158</v>
      </c>
      <c r="I21" s="2284"/>
      <c r="J21" s="172" t="s">
        <v>1159</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110</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310</v>
      </c>
      <c r="L23" s="2525"/>
      <c r="M23" s="1833"/>
      <c r="N23" s="398"/>
      <c r="AH23" s="438">
        <v>19</v>
      </c>
    </row>
    <row customHeight="1" ht="60.75" hidden="1">
      <c r="A24" s="1844" t="s">
        <v>156</v>
      </c>
      <c r="B24" s="1844" t="s">
        <v>157</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310</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5468" customFormat="1" customHeight="1" ht="18.75" hidden="1">
      <c r="A25" s="1844"/>
      <c r="B25" s="1844"/>
      <c r="C25" s="433" t="s">
        <v>1154</v>
      </c>
      <c r="D25" s="2530"/>
      <c r="E25" s="2268"/>
      <c r="F25" s="2534"/>
      <c r="G25" s="2491"/>
      <c r="H25" s="1564"/>
      <c r="I25" s="715" t="s">
        <v>1155</v>
      </c>
      <c r="J25" s="635"/>
      <c r="K25" s="1564"/>
      <c r="L25" s="278"/>
      <c r="M25" s="2234"/>
      <c r="N25" s="398"/>
      <c r="O25" s="1688"/>
      <c r="P25" s="1688"/>
      <c r="AH25" s="1695">
        <v>0</v>
      </c>
    </row>
    <row customHeight="1" ht="0.75" hidden="1">
      <c r="A26" s="1844"/>
      <c r="B26" s="1844"/>
      <c r="C26" s="433" t="s">
        <v>1160</v>
      </c>
      <c r="D26" s="2530"/>
      <c r="E26" s="2268"/>
      <c r="F26" s="2447"/>
      <c r="G26" s="464"/>
      <c r="H26" s="1564"/>
      <c r="I26" s="459"/>
      <c r="J26" s="413"/>
      <c r="K26" s="1564"/>
      <c r="L26" s="265"/>
      <c r="M26" s="2234"/>
      <c r="N26" s="398"/>
      <c r="AH26" s="438">
        <v>0</v>
      </c>
    </row>
    <row s="5468" customFormat="1" customHeight="1" ht="45" hidden="1">
      <c r="A27" s="1844" t="s">
        <v>161</v>
      </c>
      <c r="B27" s="1844" t="s">
        <v>162</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310</v>
      </c>
      <c r="M27" s="2234"/>
      <c r="N27" s="398"/>
      <c r="O27" s="1688"/>
      <c r="P27" s="1688"/>
      <c r="AH27" s="1695">
        <v>0</v>
      </c>
    </row>
    <row s="5468" customFormat="1" customHeight="1" ht="18.75" hidden="1">
      <c r="A28" s="1844"/>
      <c r="B28" s="1844"/>
      <c r="C28" s="433" t="s">
        <v>1154</v>
      </c>
      <c r="D28" s="2526"/>
      <c r="E28" s="2527"/>
      <c r="F28" s="2528"/>
      <c r="G28" s="2491"/>
      <c r="H28" s="1564"/>
      <c r="I28" s="715" t="s">
        <v>1155</v>
      </c>
      <c r="J28" s="635"/>
      <c r="K28" s="1564"/>
      <c r="L28" s="278"/>
      <c r="M28" s="2234"/>
      <c r="N28" s="398"/>
      <c r="O28" s="1688"/>
      <c r="P28" s="1688"/>
      <c r="AH28" s="1695">
        <v>0</v>
      </c>
    </row>
    <row s="5468" customFormat="1" customHeight="1" ht="0.75" hidden="1">
      <c r="A29" s="1844"/>
      <c r="B29" s="1844"/>
      <c r="C29" s="433" t="s">
        <v>1160</v>
      </c>
      <c r="D29" s="2526"/>
      <c r="E29" s="2268"/>
      <c r="F29" s="2447"/>
      <c r="G29" s="464"/>
      <c r="H29" s="1564"/>
      <c r="I29" s="715"/>
      <c r="J29" s="635"/>
      <c r="K29" s="1564"/>
      <c r="L29" s="278"/>
      <c r="M29" s="2234"/>
      <c r="N29" s="398"/>
      <c r="O29" s="1688"/>
      <c r="P29" s="1688"/>
      <c r="AH29" s="1695">
        <v>0</v>
      </c>
    </row>
    <row s="5468" customFormat="1" customHeight="1" ht="45" hidden="1">
      <c r="A30" s="1844" t="s">
        <v>168</v>
      </c>
      <c r="B30" s="1844" t="s">
        <v>169</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310</v>
      </c>
      <c r="M30" s="2234"/>
      <c r="N30" s="398"/>
      <c r="O30" s="1688"/>
      <c r="P30" s="1688"/>
      <c r="AH30" s="1695">
        <v>0</v>
      </c>
    </row>
    <row s="5468" customFormat="1" customHeight="1" ht="18.75" hidden="1">
      <c r="A31" s="1844"/>
      <c r="B31" s="1844"/>
      <c r="C31" s="433" t="s">
        <v>1154</v>
      </c>
      <c r="D31" s="2526"/>
      <c r="E31" s="2268"/>
      <c r="F31" s="2447"/>
      <c r="G31" s="2491"/>
      <c r="H31" s="1564"/>
      <c r="I31" s="715" t="s">
        <v>1155</v>
      </c>
      <c r="J31" s="635"/>
      <c r="K31" s="1564"/>
      <c r="L31" s="278"/>
      <c r="M31" s="2234"/>
      <c r="N31" s="398"/>
      <c r="O31" s="1688"/>
      <c r="P31" s="1688"/>
      <c r="AH31" s="1695">
        <v>0</v>
      </c>
    </row>
    <row s="5468" customFormat="1" customHeight="1" ht="0.75" hidden="1">
      <c r="A32" s="1844"/>
      <c r="B32" s="1844"/>
      <c r="C32" s="433" t="s">
        <v>1160</v>
      </c>
      <c r="D32" s="2526"/>
      <c r="E32" s="2268"/>
      <c r="F32" s="2447"/>
      <c r="G32" s="464"/>
      <c r="H32" s="1564"/>
      <c r="I32" s="715"/>
      <c r="J32" s="635"/>
      <c r="K32" s="1564"/>
      <c r="L32" s="278"/>
      <c r="M32" s="2234"/>
      <c r="N32" s="398"/>
      <c r="O32" s="1688"/>
      <c r="P32" s="1688"/>
      <c r="AH32" s="1695">
        <v>0</v>
      </c>
    </row>
    <row s="5468" customFormat="1" customHeight="1" ht="45" hidden="1">
      <c r="A33" s="1844" t="s">
        <v>174</v>
      </c>
      <c r="B33" s="1844" t="s">
        <v>175</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310</v>
      </c>
      <c r="M33" s="2234"/>
      <c r="N33" s="398"/>
      <c r="O33" s="1688"/>
      <c r="P33" s="1688"/>
      <c r="AH33" s="1695">
        <v>0</v>
      </c>
    </row>
    <row s="5468" customFormat="1" customHeight="1" ht="18.75" hidden="1">
      <c r="A34" s="1844"/>
      <c r="B34" s="1844"/>
      <c r="C34" s="433" t="s">
        <v>1154</v>
      </c>
      <c r="D34" s="2526"/>
      <c r="E34" s="2268"/>
      <c r="F34" s="2447"/>
      <c r="G34" s="2491"/>
      <c r="H34" s="1564"/>
      <c r="I34" s="715" t="s">
        <v>1155</v>
      </c>
      <c r="J34" s="635"/>
      <c r="K34" s="1564"/>
      <c r="L34" s="278"/>
      <c r="M34" s="2234"/>
      <c r="N34" s="398"/>
      <c r="O34" s="1688"/>
      <c r="P34" s="1688"/>
      <c r="AH34" s="1695">
        <v>0</v>
      </c>
    </row>
    <row s="5468" customFormat="1" customHeight="1" ht="0.75" hidden="1">
      <c r="A35" s="1844"/>
      <c r="B35" s="1844"/>
      <c r="C35" s="433" t="s">
        <v>1160</v>
      </c>
      <c r="D35" s="2526"/>
      <c r="E35" s="2268"/>
      <c r="F35" s="2447"/>
      <c r="G35" s="464"/>
      <c r="H35" s="1564"/>
      <c r="I35" s="715"/>
      <c r="J35" s="635"/>
      <c r="K35" s="1564"/>
      <c r="L35" s="278"/>
      <c r="M35" s="2234"/>
      <c r="N35" s="398"/>
      <c r="O35" s="1688"/>
      <c r="P35" s="1688"/>
      <c r="AH35" s="1695">
        <v>0</v>
      </c>
    </row>
    <row s="5468" customFormat="1" customHeight="1" ht="18.75" hidden="1">
      <c r="A36" s="1844" t="s">
        <v>180</v>
      </c>
      <c r="B36" s="1844" t="s">
        <v>181</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310</v>
      </c>
      <c r="M36" s="2234"/>
      <c r="N36" s="398"/>
      <c r="O36" s="1688"/>
      <c r="P36" s="1688"/>
      <c r="AH36" s="1695">
        <v>0</v>
      </c>
    </row>
    <row s="5468" customFormat="1" customHeight="1" ht="18.75" hidden="1">
      <c r="A37" s="1844"/>
      <c r="B37" s="1844"/>
      <c r="C37" s="433" t="s">
        <v>1154</v>
      </c>
      <c r="D37" s="2526"/>
      <c r="E37" s="2268"/>
      <c r="F37" s="2447"/>
      <c r="G37" s="2491"/>
      <c r="H37" s="1564"/>
      <c r="I37" s="715" t="s">
        <v>1155</v>
      </c>
      <c r="J37" s="635"/>
      <c r="K37" s="1564"/>
      <c r="L37" s="278"/>
      <c r="M37" s="2234"/>
      <c r="N37" s="398"/>
      <c r="O37" s="1688"/>
      <c r="P37" s="1688"/>
      <c r="AH37" s="1695">
        <v>0</v>
      </c>
    </row>
    <row s="5468" customFormat="1" customHeight="1" ht="0.75" hidden="1">
      <c r="A38" s="1844"/>
      <c r="B38" s="1844"/>
      <c r="C38" s="433" t="s">
        <v>1160</v>
      </c>
      <c r="D38" s="2526"/>
      <c r="E38" s="2268"/>
      <c r="F38" s="2447"/>
      <c r="G38" s="464"/>
      <c r="H38" s="1564"/>
      <c r="I38" s="715"/>
      <c r="J38" s="635"/>
      <c r="K38" s="1564"/>
      <c r="L38" s="278"/>
      <c r="M38" s="2234"/>
      <c r="N38" s="398"/>
      <c r="O38" s="1688"/>
      <c r="P38" s="1688"/>
      <c r="AH38" s="1695">
        <v>0</v>
      </c>
    </row>
    <row s="5468" customFormat="1" customHeight="1" ht="18.75" hidden="1">
      <c r="A39" s="1844" t="s">
        <v>186</v>
      </c>
      <c r="B39" s="1844" t="s">
        <v>187</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310</v>
      </c>
      <c r="M39" s="2234"/>
      <c r="N39" s="398"/>
      <c r="O39" s="1688"/>
      <c r="P39" s="1688"/>
      <c r="AH39" s="1695">
        <v>0</v>
      </c>
    </row>
    <row s="5468" customFormat="1" customHeight="1" ht="18.75" hidden="1">
      <c r="A40" s="1844"/>
      <c r="B40" s="1844"/>
      <c r="C40" s="433" t="s">
        <v>1154</v>
      </c>
      <c r="D40" s="2526"/>
      <c r="E40" s="2268"/>
      <c r="F40" s="2447"/>
      <c r="G40" s="2491"/>
      <c r="H40" s="1564"/>
      <c r="I40" s="715" t="s">
        <v>1155</v>
      </c>
      <c r="J40" s="635"/>
      <c r="K40" s="1564"/>
      <c r="L40" s="278"/>
      <c r="M40" s="2234"/>
      <c r="N40" s="398"/>
      <c r="O40" s="1688"/>
      <c r="P40" s="1688"/>
      <c r="AH40" s="1695">
        <v>0</v>
      </c>
    </row>
    <row s="5468" customFormat="1" customHeight="1" ht="0.75" hidden="1">
      <c r="A41" s="1844"/>
      <c r="B41" s="1844"/>
      <c r="C41" s="433" t="s">
        <v>1160</v>
      </c>
      <c r="D41" s="2526"/>
      <c r="E41" s="2268"/>
      <c r="F41" s="2447"/>
      <c r="G41" s="464"/>
      <c r="H41" s="1564"/>
      <c r="I41" s="715"/>
      <c r="J41" s="635"/>
      <c r="K41" s="1564"/>
      <c r="L41" s="278"/>
      <c r="M41" s="2234"/>
      <c r="N41" s="398"/>
      <c r="O41" s="1688"/>
      <c r="P41" s="1688"/>
      <c r="AH41" s="1695">
        <v>0</v>
      </c>
    </row>
    <row s="5468" customFormat="1" customHeight="1" ht="18.75" hidden="1">
      <c r="A42" s="1844" t="s">
        <v>192</v>
      </c>
      <c r="B42" s="1844" t="s">
        <v>193</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310</v>
      </c>
      <c r="M42" s="2234"/>
      <c r="N42" s="398"/>
      <c r="O42" s="1688"/>
      <c r="P42" s="1688"/>
      <c r="AH42" s="1695">
        <v>0</v>
      </c>
    </row>
    <row s="5468" customFormat="1" customHeight="1" ht="18.75" hidden="1">
      <c r="A43" s="1844"/>
      <c r="B43" s="1844"/>
      <c r="C43" s="433" t="s">
        <v>1154</v>
      </c>
      <c r="D43" s="2526"/>
      <c r="E43" s="2268"/>
      <c r="F43" s="2447"/>
      <c r="G43" s="2491"/>
      <c r="H43" s="1564"/>
      <c r="I43" s="715" t="s">
        <v>1155</v>
      </c>
      <c r="J43" s="635"/>
      <c r="K43" s="1564"/>
      <c r="L43" s="278"/>
      <c r="M43" s="2234"/>
      <c r="N43" s="398"/>
      <c r="O43" s="1688"/>
      <c r="P43" s="1688"/>
      <c r="AH43" s="1695">
        <v>0</v>
      </c>
    </row>
    <row s="5468" customFormat="1" customHeight="1" ht="0.75" hidden="1">
      <c r="A44" s="1844"/>
      <c r="B44" s="1844"/>
      <c r="C44" s="433" t="s">
        <v>1160</v>
      </c>
      <c r="D44" s="2526"/>
      <c r="E44" s="2268"/>
      <c r="F44" s="2447"/>
      <c r="G44" s="464"/>
      <c r="H44" s="1564"/>
      <c r="I44" s="715"/>
      <c r="J44" s="635"/>
      <c r="K44" s="1564"/>
      <c r="L44" s="278"/>
      <c r="M44" s="2234"/>
      <c r="N44" s="398"/>
      <c r="O44" s="1688"/>
      <c r="P44" s="1688"/>
      <c r="AH44" s="1695">
        <v>0</v>
      </c>
    </row>
    <row s="5468" customFormat="1" customHeight="1" ht="18.75" hidden="1">
      <c r="A45" s="1844" t="s">
        <v>198</v>
      </c>
      <c r="B45" s="1844" t="s">
        <v>199</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310</v>
      </c>
      <c r="M45" s="2234"/>
      <c r="N45" s="398"/>
      <c r="O45" s="1688"/>
      <c r="P45" s="1688"/>
      <c r="AH45" s="1695">
        <v>0</v>
      </c>
    </row>
    <row s="5468" customFormat="1" customHeight="1" ht="18.75" hidden="1">
      <c r="A46" s="1844"/>
      <c r="B46" s="1844"/>
      <c r="C46" s="433" t="s">
        <v>1154</v>
      </c>
      <c r="D46" s="2526"/>
      <c r="E46" s="2268"/>
      <c r="F46" s="2447"/>
      <c r="G46" s="2491"/>
      <c r="H46" s="1564"/>
      <c r="I46" s="715" t="s">
        <v>1155</v>
      </c>
      <c r="J46" s="635"/>
      <c r="K46" s="1564"/>
      <c r="L46" s="278"/>
      <c r="M46" s="2234"/>
      <c r="N46" s="398"/>
      <c r="O46" s="1688"/>
      <c r="P46" s="1688"/>
      <c r="AH46" s="1695">
        <v>0</v>
      </c>
    </row>
    <row s="5468" customFormat="1" customHeight="1" ht="0.75" hidden="1">
      <c r="A47" s="1844"/>
      <c r="B47" s="1844"/>
      <c r="C47" s="433" t="s">
        <v>1160</v>
      </c>
      <c r="D47" s="2526"/>
      <c r="E47" s="2268"/>
      <c r="F47" s="2447"/>
      <c r="G47" s="464"/>
      <c r="H47" s="1564"/>
      <c r="I47" s="715"/>
      <c r="J47" s="635"/>
      <c r="K47" s="1564"/>
      <c r="L47" s="278"/>
      <c r="M47" s="2234"/>
      <c r="N47" s="398"/>
      <c r="O47" s="1688"/>
      <c r="P47" s="1688"/>
      <c r="AH47" s="1695">
        <v>0</v>
      </c>
    </row>
    <row s="5468" customFormat="1" customHeight="1" ht="18.75" hidden="1">
      <c r="A48" s="1844" t="s">
        <v>204</v>
      </c>
      <c r="B48" s="1844" t="s">
        <v>205</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310</v>
      </c>
      <c r="M48" s="2234"/>
      <c r="N48" s="398"/>
      <c r="O48" s="1688"/>
      <c r="P48" s="1688"/>
      <c r="AH48" s="1695">
        <v>0</v>
      </c>
    </row>
    <row s="5468" customFormat="1" customHeight="1" ht="18.75" hidden="1">
      <c r="A49" s="1844"/>
      <c r="B49" s="1844"/>
      <c r="C49" s="433" t="s">
        <v>1154</v>
      </c>
      <c r="D49" s="2526"/>
      <c r="E49" s="2268"/>
      <c r="F49" s="2447"/>
      <c r="G49" s="2491"/>
      <c r="H49" s="1564"/>
      <c r="I49" s="715" t="s">
        <v>1155</v>
      </c>
      <c r="J49" s="635"/>
      <c r="K49" s="1564"/>
      <c r="L49" s="278"/>
      <c r="M49" s="2234"/>
      <c r="N49" s="398"/>
      <c r="O49" s="1688"/>
      <c r="P49" s="1688"/>
      <c r="AH49" s="1695">
        <v>0</v>
      </c>
    </row>
    <row s="5468" customFormat="1" customHeight="1" ht="0.75" hidden="1">
      <c r="A50" s="1844"/>
      <c r="B50" s="1844"/>
      <c r="C50" s="433" t="s">
        <v>1160</v>
      </c>
      <c r="D50" s="2526"/>
      <c r="E50" s="2268"/>
      <c r="F50" s="2447"/>
      <c r="G50" s="464"/>
      <c r="H50" s="1564"/>
      <c r="I50" s="715"/>
      <c r="J50" s="635"/>
      <c r="K50" s="1564"/>
      <c r="L50" s="278"/>
      <c r="M50" s="2234"/>
      <c r="N50" s="398"/>
      <c r="O50" s="1688"/>
      <c r="P50" s="1688"/>
      <c r="AH50" s="1695">
        <v>0</v>
      </c>
    </row>
    <row s="5468" customFormat="1" customHeight="1" ht="18.75" hidden="1">
      <c r="A51" s="1844" t="s">
        <v>224</v>
      </c>
      <c r="B51" s="1844" t="s">
        <v>225</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310</v>
      </c>
      <c r="M51" s="2234"/>
      <c r="N51" s="398"/>
      <c r="O51" s="1688"/>
      <c r="P51" s="1688"/>
      <c r="AH51" s="1695">
        <v>0</v>
      </c>
    </row>
    <row s="5468" customFormat="1" customHeight="1" ht="18.75" hidden="1">
      <c r="A52" s="1844"/>
      <c r="B52" s="1844"/>
      <c r="C52" s="433" t="s">
        <v>1154</v>
      </c>
      <c r="D52" s="2526"/>
      <c r="E52" s="2268"/>
      <c r="F52" s="2447"/>
      <c r="G52" s="2491"/>
      <c r="H52" s="1564"/>
      <c r="I52" s="715" t="s">
        <v>1155</v>
      </c>
      <c r="J52" s="635"/>
      <c r="K52" s="1564"/>
      <c r="L52" s="278"/>
      <c r="M52" s="2234"/>
      <c r="N52" s="398"/>
      <c r="O52" s="1688"/>
      <c r="P52" s="1688"/>
      <c r="AH52" s="1695">
        <v>0</v>
      </c>
    </row>
    <row s="5468" customFormat="1" customHeight="1" ht="0.75" hidden="1">
      <c r="A53" s="1844"/>
      <c r="B53" s="1844"/>
      <c r="C53" s="433" t="s">
        <v>1160</v>
      </c>
      <c r="D53" s="2526"/>
      <c r="E53" s="2268"/>
      <c r="F53" s="2447"/>
      <c r="G53" s="464"/>
      <c r="H53" s="1564"/>
      <c r="I53" s="715"/>
      <c r="J53" s="635"/>
      <c r="K53" s="1564"/>
      <c r="L53" s="278"/>
      <c r="M53" s="2234"/>
      <c r="N53" s="398"/>
      <c r="O53" s="1688"/>
      <c r="P53" s="1688"/>
      <c r="AH53" s="1695">
        <v>0</v>
      </c>
    </row>
    <row s="5468" customFormat="1" customHeight="1" ht="18.75" hidden="1">
      <c r="A54" s="1844" t="s">
        <v>229</v>
      </c>
      <c r="B54" s="1844" t="s">
        <v>230</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310</v>
      </c>
      <c r="M54" s="2234"/>
      <c r="N54" s="398"/>
      <c r="O54" s="1688"/>
      <c r="P54" s="1688"/>
      <c r="AH54" s="1695">
        <v>0</v>
      </c>
    </row>
    <row s="5468" customFormat="1" customHeight="1" ht="18.75" hidden="1">
      <c r="A55" s="1844"/>
      <c r="B55" s="1844"/>
      <c r="C55" s="433" t="s">
        <v>1154</v>
      </c>
      <c r="D55" s="2526"/>
      <c r="E55" s="2268"/>
      <c r="F55" s="2447"/>
      <c r="G55" s="2491"/>
      <c r="H55" s="1564"/>
      <c r="I55" s="715" t="s">
        <v>1155</v>
      </c>
      <c r="J55" s="635"/>
      <c r="K55" s="1564"/>
      <c r="L55" s="278"/>
      <c r="M55" s="2234"/>
      <c r="N55" s="398"/>
      <c r="O55" s="1688"/>
      <c r="P55" s="1688"/>
      <c r="AH55" s="1695">
        <v>0</v>
      </c>
    </row>
    <row s="5468" customFormat="1" customHeight="1" ht="0.75" hidden="1">
      <c r="A56" s="1844"/>
      <c r="B56" s="1844"/>
      <c r="C56" s="433" t="s">
        <v>1160</v>
      </c>
      <c r="D56" s="2526"/>
      <c r="E56" s="2268"/>
      <c r="F56" s="2447"/>
      <c r="G56" s="464"/>
      <c r="H56" s="1564"/>
      <c r="I56" s="715"/>
      <c r="J56" s="635"/>
      <c r="K56" s="1564"/>
      <c r="L56" s="278"/>
      <c r="M56" s="2234"/>
      <c r="N56" s="398"/>
      <c r="O56" s="1688"/>
      <c r="P56" s="1688"/>
      <c r="AH56" s="1695">
        <v>0</v>
      </c>
    </row>
    <row s="5468" customFormat="1" customHeight="1" ht="18.75" hidden="1">
      <c r="A57" s="1844" t="s">
        <v>234</v>
      </c>
      <c r="B57" s="1844" t="s">
        <v>235</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310</v>
      </c>
      <c r="M57" s="2234"/>
      <c r="N57" s="398"/>
      <c r="O57" s="1688"/>
      <c r="P57" s="1688"/>
      <c r="AH57" s="1695">
        <v>0</v>
      </c>
    </row>
    <row s="5468" customFormat="1" customHeight="1" ht="18.75" hidden="1">
      <c r="A58" s="1844"/>
      <c r="B58" s="1844"/>
      <c r="C58" s="433" t="s">
        <v>1154</v>
      </c>
      <c r="D58" s="2526"/>
      <c r="E58" s="2268"/>
      <c r="F58" s="2447"/>
      <c r="G58" s="2491"/>
      <c r="H58" s="1564"/>
      <c r="I58" s="715" t="s">
        <v>1155</v>
      </c>
      <c r="J58" s="635"/>
      <c r="K58" s="1564"/>
      <c r="L58" s="278"/>
      <c r="M58" s="2234"/>
      <c r="N58" s="398"/>
      <c r="O58" s="1688"/>
      <c r="P58" s="1688"/>
      <c r="AH58" s="1695">
        <v>0</v>
      </c>
    </row>
    <row s="5468" customFormat="1" customHeight="1" ht="0.75" hidden="1">
      <c r="A59" s="1844"/>
      <c r="B59" s="1844"/>
      <c r="C59" s="433" t="s">
        <v>1160</v>
      </c>
      <c r="D59" s="2526"/>
      <c r="E59" s="2268"/>
      <c r="F59" s="2447"/>
      <c r="G59" s="464"/>
      <c r="H59" s="1564"/>
      <c r="I59" s="715"/>
      <c r="J59" s="635"/>
      <c r="K59" s="1564"/>
      <c r="L59" s="278"/>
      <c r="M59" s="2234"/>
      <c r="N59" s="398"/>
      <c r="O59" s="1688"/>
      <c r="P59" s="1688"/>
      <c r="AH59" s="1695">
        <v>0</v>
      </c>
    </row>
    <row s="5468" customFormat="1" customHeight="1" ht="18.75" hidden="1">
      <c r="A60" s="1844" t="s">
        <v>239</v>
      </c>
      <c r="B60" s="1844" t="s">
        <v>240</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310</v>
      </c>
      <c r="M60" s="2234"/>
      <c r="N60" s="398"/>
      <c r="O60" s="1688"/>
      <c r="P60" s="1688"/>
      <c r="AH60" s="1695">
        <v>0</v>
      </c>
    </row>
    <row s="5468" customFormat="1" customHeight="1" ht="18.75" hidden="1">
      <c r="A61" s="1844"/>
      <c r="B61" s="1844"/>
      <c r="C61" s="433" t="s">
        <v>1154</v>
      </c>
      <c r="D61" s="2526"/>
      <c r="E61" s="2268"/>
      <c r="F61" s="2447"/>
      <c r="G61" s="2491"/>
      <c r="H61" s="1564"/>
      <c r="I61" s="715" t="s">
        <v>1155</v>
      </c>
      <c r="J61" s="635"/>
      <c r="K61" s="1564"/>
      <c r="L61" s="278"/>
      <c r="M61" s="2234"/>
      <c r="N61" s="398"/>
      <c r="O61" s="1688"/>
      <c r="P61" s="1688"/>
      <c r="AH61" s="1695">
        <v>0</v>
      </c>
    </row>
    <row s="5468" customFormat="1" customHeight="1" ht="0.75" hidden="1">
      <c r="A62" s="1844"/>
      <c r="B62" s="1844"/>
      <c r="C62" s="433" t="s">
        <v>1160</v>
      </c>
      <c r="D62" s="2526"/>
      <c r="E62" s="2268"/>
      <c r="F62" s="2447"/>
      <c r="G62" s="464"/>
      <c r="H62" s="1564"/>
      <c r="I62" s="715"/>
      <c r="J62" s="635"/>
      <c r="K62" s="1564"/>
      <c r="L62" s="278"/>
      <c r="M62" s="2234"/>
      <c r="N62" s="398"/>
      <c r="O62" s="1688"/>
      <c r="P62" s="1688"/>
      <c r="AH62" s="1695">
        <v>0</v>
      </c>
    </row>
    <row s="5468" customFormat="1" customHeight="1" ht="18.75" hidden="1">
      <c r="A63" s="1844" t="s">
        <v>244</v>
      </c>
      <c r="B63" s="1844" t="s">
        <v>245</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310</v>
      </c>
      <c r="M63" s="2234"/>
      <c r="N63" s="398"/>
      <c r="O63" s="1688"/>
      <c r="P63" s="1688"/>
      <c r="AH63" s="1695">
        <v>0</v>
      </c>
    </row>
    <row s="5468" customFormat="1" customHeight="1" ht="18.75" hidden="1">
      <c r="A64" s="1844"/>
      <c r="B64" s="1844"/>
      <c r="C64" s="433" t="s">
        <v>1154</v>
      </c>
      <c r="D64" s="2526"/>
      <c r="E64" s="2268"/>
      <c r="F64" s="2447"/>
      <c r="G64" s="2491"/>
      <c r="H64" s="1564"/>
      <c r="I64" s="715" t="s">
        <v>1155</v>
      </c>
      <c r="J64" s="635"/>
      <c r="K64" s="1564"/>
      <c r="L64" s="278"/>
      <c r="M64" s="2234"/>
      <c r="N64" s="398"/>
      <c r="O64" s="1688"/>
      <c r="P64" s="1688"/>
      <c r="AH64" s="1695">
        <v>0</v>
      </c>
    </row>
    <row s="5468" customFormat="1" customHeight="1" ht="0.75" hidden="1">
      <c r="A65" s="1844"/>
      <c r="B65" s="1844"/>
      <c r="C65" s="433" t="s">
        <v>1160</v>
      </c>
      <c r="D65" s="2526"/>
      <c r="E65" s="2268"/>
      <c r="F65" s="2447"/>
      <c r="G65" s="464"/>
      <c r="H65" s="1564"/>
      <c r="I65" s="715"/>
      <c r="J65" s="635"/>
      <c r="K65" s="1564"/>
      <c r="L65" s="278"/>
      <c r="M65" s="2234"/>
      <c r="N65" s="398"/>
      <c r="O65" s="1688"/>
      <c r="P65" s="1688"/>
      <c r="AH65" s="1695">
        <v>0</v>
      </c>
    </row>
    <row s="5468" customFormat="1" customHeight="1" ht="18.75" hidden="1">
      <c r="A66" s="1844" t="s">
        <v>251</v>
      </c>
      <c r="B66" s="1844" t="s">
        <v>252</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тарифы на горячую воду (горячее водоснабжение)</v>
      </c>
      <c r="H66" s="1926"/>
      <c r="I66" s="1803"/>
      <c r="J66" s="1837"/>
      <c r="K66" s="1929"/>
      <c r="L66" s="1926" t="s">
        <v>310</v>
      </c>
      <c r="M66" s="2234"/>
      <c r="N66" s="398"/>
      <c r="O66" s="1688"/>
      <c r="P66" s="1688"/>
      <c r="AH66" s="1695">
        <v>0</v>
      </c>
    </row>
    <row s="5468" customFormat="1" customHeight="1" ht="18.75" hidden="1">
      <c r="A67" s="1844"/>
      <c r="B67" s="1844"/>
      <c r="C67" s="433" t="s">
        <v>1154</v>
      </c>
      <c r="D67" s="2526"/>
      <c r="E67" s="2268"/>
      <c r="F67" s="2447"/>
      <c r="G67" s="2491"/>
      <c r="H67" s="1564"/>
      <c r="I67" s="715" t="s">
        <v>1155</v>
      </c>
      <c r="J67" s="635"/>
      <c r="K67" s="1564"/>
      <c r="L67" s="278"/>
      <c r="M67" s="2234"/>
      <c r="N67" s="398"/>
      <c r="O67" s="1688"/>
      <c r="P67" s="1688"/>
      <c r="AH67" s="1695">
        <v>0</v>
      </c>
    </row>
    <row s="5468" customFormat="1" customHeight="1" ht="0.75" hidden="1">
      <c r="A68" s="1844"/>
      <c r="B68" s="1844"/>
      <c r="C68" s="433" t="s">
        <v>1160</v>
      </c>
      <c r="D68" s="2526"/>
      <c r="E68" s="2268"/>
      <c r="F68" s="2447"/>
      <c r="G68" s="464"/>
      <c r="H68" s="1564"/>
      <c r="I68" s="715"/>
      <c r="J68" s="635"/>
      <c r="K68" s="1564"/>
      <c r="L68" s="278"/>
      <c r="M68" s="2234"/>
      <c r="N68" s="398"/>
      <c r="O68" s="1688"/>
      <c r="P68" s="1688"/>
      <c r="AH68" s="1695">
        <v>0</v>
      </c>
    </row>
    <row s="5468" customFormat="1" customHeight="1" ht="18.75" hidden="1">
      <c r="A69" s="1844" t="s">
        <v>259</v>
      </c>
      <c r="B69" s="1844" t="s">
        <v>260</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310</v>
      </c>
      <c r="M69" s="2234"/>
      <c r="N69" s="398"/>
      <c r="O69" s="1688"/>
      <c r="P69" s="1688"/>
      <c r="AH69" s="1695">
        <v>0</v>
      </c>
    </row>
    <row s="5468" customFormat="1" customHeight="1" ht="18.75" hidden="1">
      <c r="A70" s="1844"/>
      <c r="B70" s="1844"/>
      <c r="C70" s="433" t="s">
        <v>1154</v>
      </c>
      <c r="D70" s="2526"/>
      <c r="E70" s="2268"/>
      <c r="F70" s="2447"/>
      <c r="G70" s="2491"/>
      <c r="H70" s="1564"/>
      <c r="I70" s="715" t="s">
        <v>1155</v>
      </c>
      <c r="J70" s="635"/>
      <c r="K70" s="1564"/>
      <c r="L70" s="278"/>
      <c r="M70" s="2234"/>
      <c r="N70" s="398"/>
      <c r="O70" s="1688"/>
      <c r="P70" s="1688"/>
      <c r="AH70" s="1695">
        <v>0</v>
      </c>
    </row>
    <row s="5468" customFormat="1" customHeight="1" ht="0.75" hidden="1">
      <c r="A71" s="1844"/>
      <c r="B71" s="1844"/>
      <c r="C71" s="433" t="s">
        <v>1160</v>
      </c>
      <c r="D71" s="2526"/>
      <c r="E71" s="2268"/>
      <c r="F71" s="2447"/>
      <c r="G71" s="464"/>
      <c r="H71" s="1564"/>
      <c r="I71" s="715"/>
      <c r="J71" s="635"/>
      <c r="K71" s="1564"/>
      <c r="L71" s="278"/>
      <c r="M71" s="2234"/>
      <c r="N71" s="398"/>
      <c r="O71" s="1688"/>
      <c r="P71" s="1688"/>
      <c r="AH71" s="1695">
        <v>0</v>
      </c>
    </row>
    <row s="5468" customFormat="1" customHeight="1" ht="18.75" hidden="1">
      <c r="A72" s="1844" t="s">
        <v>264</v>
      </c>
      <c r="B72" s="1844" t="s">
        <v>265</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310</v>
      </c>
      <c r="M72" s="2234"/>
      <c r="N72" s="398"/>
      <c r="O72" s="1688"/>
      <c r="P72" s="1688"/>
      <c r="AH72" s="1695">
        <v>0</v>
      </c>
    </row>
    <row s="5468" customFormat="1" customHeight="1" ht="18.75" hidden="1">
      <c r="A73" s="1844"/>
      <c r="B73" s="1844"/>
      <c r="C73" s="433" t="s">
        <v>1154</v>
      </c>
      <c r="D73" s="2526"/>
      <c r="E73" s="2268"/>
      <c r="F73" s="2447"/>
      <c r="G73" s="2491"/>
      <c r="H73" s="1564"/>
      <c r="I73" s="715" t="s">
        <v>1155</v>
      </c>
      <c r="J73" s="635"/>
      <c r="K73" s="1564"/>
      <c r="L73" s="278"/>
      <c r="M73" s="2234"/>
      <c r="N73" s="398"/>
      <c r="O73" s="1688"/>
      <c r="P73" s="1688"/>
      <c r="AH73" s="1695">
        <v>0</v>
      </c>
    </row>
    <row s="5468" customFormat="1" customHeight="1" ht="0.75" hidden="1">
      <c r="A74" s="1844"/>
      <c r="B74" s="1844"/>
      <c r="C74" s="433" t="s">
        <v>1160</v>
      </c>
      <c r="D74" s="2526"/>
      <c r="E74" s="2268"/>
      <c r="F74" s="2447"/>
      <c r="G74" s="464"/>
      <c r="H74" s="1564"/>
      <c r="I74" s="715"/>
      <c r="J74" s="635"/>
      <c r="K74" s="1564"/>
      <c r="L74" s="278"/>
      <c r="M74" s="2234"/>
      <c r="N74" s="398"/>
      <c r="O74" s="1688"/>
      <c r="P74" s="1688"/>
      <c r="AH74" s="1695">
        <v>0</v>
      </c>
    </row>
    <row s="5468" customFormat="1" customHeight="1" ht="18.75" hidden="1">
      <c r="A75" s="1844" t="s">
        <v>269</v>
      </c>
      <c r="B75" s="1844" t="s">
        <v>270</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310</v>
      </c>
      <c r="M75" s="2234"/>
      <c r="N75" s="398"/>
      <c r="O75" s="1688"/>
      <c r="P75" s="1688"/>
      <c r="AH75" s="1695">
        <v>0</v>
      </c>
    </row>
    <row s="5468" customFormat="1" customHeight="1" ht="18.75" hidden="1">
      <c r="A76" s="1844"/>
      <c r="B76" s="1844"/>
      <c r="C76" s="433" t="s">
        <v>1154</v>
      </c>
      <c r="D76" s="2526"/>
      <c r="E76" s="2268"/>
      <c r="F76" s="2447"/>
      <c r="G76" s="2491"/>
      <c r="H76" s="1564"/>
      <c r="I76" s="715" t="s">
        <v>1155</v>
      </c>
      <c r="J76" s="635"/>
      <c r="K76" s="1564"/>
      <c r="L76" s="278"/>
      <c r="M76" s="2234"/>
      <c r="N76" s="398"/>
      <c r="O76" s="1688"/>
      <c r="P76" s="1688"/>
      <c r="AH76" s="1695">
        <v>0</v>
      </c>
    </row>
    <row s="5468" customFormat="1" customHeight="1" ht="0.75" hidden="1">
      <c r="A77" s="1844"/>
      <c r="B77" s="1844"/>
      <c r="C77" s="433" t="s">
        <v>1160</v>
      </c>
      <c r="D77" s="2526"/>
      <c r="E77" s="2268"/>
      <c r="F77" s="2447"/>
      <c r="G77" s="464"/>
      <c r="H77" s="1564"/>
      <c r="I77" s="715"/>
      <c r="J77" s="635"/>
      <c r="K77" s="1564"/>
      <c r="L77" s="278"/>
      <c r="M77" s="2234"/>
      <c r="N77" s="398"/>
      <c r="O77" s="1688"/>
      <c r="P77" s="1688"/>
      <c r="AH77" s="1695">
        <v>0</v>
      </c>
    </row>
    <row s="5468" customFormat="1" customHeight="1" ht="18.75" hidden="1">
      <c r="A78" s="1844" t="s">
        <v>274</v>
      </c>
      <c r="B78" s="1844" t="s">
        <v>275</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310</v>
      </c>
      <c r="M78" s="2234"/>
      <c r="N78" s="398"/>
      <c r="O78" s="1688"/>
      <c r="P78" s="1688"/>
      <c r="AH78" s="1695">
        <v>0</v>
      </c>
    </row>
    <row s="5468" customFormat="1" customHeight="1" ht="18.75" hidden="1">
      <c r="A79" s="1844"/>
      <c r="B79" s="1844"/>
      <c r="C79" s="433" t="s">
        <v>1154</v>
      </c>
      <c r="D79" s="2526"/>
      <c r="E79" s="2268"/>
      <c r="F79" s="2447"/>
      <c r="G79" s="2491"/>
      <c r="H79" s="1564"/>
      <c r="I79" s="715" t="s">
        <v>1155</v>
      </c>
      <c r="J79" s="635"/>
      <c r="K79" s="1564"/>
      <c r="L79" s="278"/>
      <c r="M79" s="2234"/>
      <c r="N79" s="398"/>
      <c r="O79" s="1688"/>
      <c r="P79" s="1688"/>
      <c r="AH79" s="1695">
        <v>0</v>
      </c>
    </row>
    <row s="5468" customFormat="1" customHeight="1" ht="0.75" hidden="1">
      <c r="A80" s="1844"/>
      <c r="B80" s="1844"/>
      <c r="C80" s="433" t="s">
        <v>1160</v>
      </c>
      <c r="D80" s="2526"/>
      <c r="E80" s="2268"/>
      <c r="F80" s="2447"/>
      <c r="G80" s="464"/>
      <c r="H80" s="1564"/>
      <c r="I80" s="715"/>
      <c r="J80" s="635"/>
      <c r="K80" s="1564"/>
      <c r="L80" s="278"/>
      <c r="M80" s="2234"/>
      <c r="N80" s="398"/>
      <c r="O80" s="1688"/>
      <c r="P80" s="1688"/>
      <c r="AH80" s="1695">
        <v>0</v>
      </c>
    </row>
    <row s="5468" customFormat="1" customHeight="1" ht="18.75" hidden="1">
      <c r="A81" s="1844" t="s">
        <v>279</v>
      </c>
      <c r="B81" s="1844" t="s">
        <v>280</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310</v>
      </c>
      <c r="M81" s="2234"/>
      <c r="N81" s="398"/>
      <c r="O81" s="1688"/>
      <c r="P81" s="1688"/>
      <c r="AH81" s="1695">
        <v>0</v>
      </c>
    </row>
    <row s="5468" customFormat="1" customHeight="1" ht="18.75" hidden="1">
      <c r="A82" s="1844"/>
      <c r="B82" s="1844"/>
      <c r="C82" s="433" t="s">
        <v>1154</v>
      </c>
      <c r="D82" s="2526"/>
      <c r="E82" s="2268"/>
      <c r="F82" s="2447"/>
      <c r="G82" s="2491"/>
      <c r="H82" s="1564"/>
      <c r="I82" s="715" t="s">
        <v>1155</v>
      </c>
      <c r="J82" s="635"/>
      <c r="K82" s="1564"/>
      <c r="L82" s="278"/>
      <c r="M82" s="2234"/>
      <c r="N82" s="398"/>
      <c r="O82" s="1688"/>
      <c r="P82" s="1688"/>
      <c r="AH82" s="1695">
        <v>0</v>
      </c>
    </row>
    <row s="5468" customFormat="1" customHeight="1" ht="1.05">
      <c r="A83" s="1844"/>
      <c r="B83" s="1844"/>
      <c r="C83" s="433" t="s">
        <v>1160</v>
      </c>
      <c r="D83" s="2526"/>
      <c r="E83" s="2268"/>
      <c r="F83" s="2447"/>
      <c r="G83" s="464"/>
      <c r="H83" s="1564"/>
      <c r="I83" s="715"/>
      <c r="J83" s="635"/>
      <c r="K83" s="1564"/>
      <c r="L83" s="278"/>
      <c r="M83" s="2234"/>
      <c r="N83" s="398"/>
      <c r="O83" s="1688"/>
      <c r="P83" s="1688"/>
      <c r="AH83" s="1695">
        <v>1</v>
      </c>
    </row>
    <row customHeight="1" ht="19.95">
      <c r="A84" s="1844"/>
      <c r="B84" s="1844"/>
      <c r="D84" s="440"/>
      <c r="E84" s="211" t="s">
        <v>111</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4"/>
      <c r="H84" s="2524"/>
      <c r="I84" s="2524"/>
      <c r="J84" s="2524"/>
      <c r="K84" s="2524"/>
      <c r="L84" s="2524"/>
      <c r="M84" s="361"/>
      <c r="N84" s="398"/>
      <c r="AH84" s="438">
        <v>19</v>
      </c>
    </row>
    <row customHeight="1" ht="35.699999999999996">
      <c r="A85" s="1844"/>
      <c r="B85" s="1844"/>
      <c r="D85" s="440"/>
      <c r="E85" s="463"/>
      <c r="F85" s="262" t="s">
        <v>310</v>
      </c>
      <c r="G85" s="262" t="s">
        <v>310</v>
      </c>
      <c r="H85" s="2282" t="s">
        <v>310</v>
      </c>
      <c r="I85" s="2284"/>
      <c r="J85" s="262" t="s">
        <v>310</v>
      </c>
      <c r="K85" s="262" t="s">
        <v>310</v>
      </c>
      <c r="L85" s="465"/>
      <c r="M85" s="409" t="s">
        <v>1161</v>
      </c>
      <c r="N85" s="398"/>
      <c r="AH85" s="438">
        <v>34</v>
      </c>
    </row>
    <row customHeight="1" ht="19.95">
      <c r="A86" s="1844"/>
      <c r="B86" s="1844"/>
      <c r="D86" s="440"/>
      <c r="E86" s="211" t="s">
        <v>91</v>
      </c>
      <c r="F86" s="2524" t="s">
        <v>1162</v>
      </c>
      <c r="G86" s="2524"/>
      <c r="H86" s="2524"/>
      <c r="I86" s="2524"/>
      <c r="J86" s="2524"/>
      <c r="K86" s="2524"/>
      <c r="L86" s="2524"/>
      <c r="M86" s="361"/>
      <c r="N86" s="398"/>
      <c r="AH86" s="438">
        <v>19</v>
      </c>
    </row>
    <row s="5468" customFormat="1" customHeight="1" ht="60.75" hidden="1">
      <c r="A87" s="1844" t="s">
        <v>156</v>
      </c>
      <c r="B87" s="1844" t="s">
        <v>157</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310</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5468" customFormat="1" customHeight="1" ht="18.75" hidden="1">
      <c r="A88" s="1844"/>
      <c r="B88" s="1844"/>
      <c r="C88" s="433" t="s">
        <v>1156</v>
      </c>
      <c r="D88" s="2526"/>
      <c r="E88" s="2268"/>
      <c r="F88" s="2447"/>
      <c r="G88" s="2491"/>
      <c r="H88" s="1564"/>
      <c r="I88" s="715" t="s">
        <v>1155</v>
      </c>
      <c r="J88" s="635"/>
      <c r="K88" s="1564"/>
      <c r="L88" s="278"/>
      <c r="M88" s="2234"/>
      <c r="N88" s="398"/>
      <c r="O88" s="1688"/>
      <c r="P88" s="1688"/>
      <c r="AH88" s="1695">
        <v>0</v>
      </c>
    </row>
    <row s="5468" customFormat="1" customHeight="1" ht="0.75" hidden="1">
      <c r="A89" s="1844"/>
      <c r="B89" s="1844"/>
      <c r="C89" s="433" t="s">
        <v>1163</v>
      </c>
      <c r="D89" s="2526"/>
      <c r="E89" s="2268"/>
      <c r="F89" s="2447"/>
      <c r="G89" s="464"/>
      <c r="H89" s="1564"/>
      <c r="I89" s="715"/>
      <c r="J89" s="635"/>
      <c r="K89" s="1564"/>
      <c r="L89" s="278"/>
      <c r="M89" s="2234"/>
      <c r="N89" s="398"/>
      <c r="O89" s="1688"/>
      <c r="P89" s="1688"/>
      <c r="AH89" s="1695">
        <v>0</v>
      </c>
    </row>
    <row s="5468" customFormat="1" customHeight="1" ht="45" hidden="1">
      <c r="A90" s="1844" t="s">
        <v>161</v>
      </c>
      <c r="B90" s="1844" t="s">
        <v>162</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310</v>
      </c>
      <c r="M90" s="2235"/>
      <c r="N90" s="398"/>
      <c r="O90" s="1688"/>
      <c r="P90" s="1688"/>
      <c r="AH90" s="1695">
        <v>0</v>
      </c>
    </row>
    <row s="5468" customFormat="1" customHeight="1" ht="18.75" hidden="1">
      <c r="A91" s="1844"/>
      <c r="B91" s="1844"/>
      <c r="C91" s="433" t="s">
        <v>1156</v>
      </c>
      <c r="D91" s="2526"/>
      <c r="E91" s="2268"/>
      <c r="F91" s="2447"/>
      <c r="G91" s="2491"/>
      <c r="H91" s="1564"/>
      <c r="I91" s="715" t="s">
        <v>1155</v>
      </c>
      <c r="J91" s="635"/>
      <c r="K91" s="1564"/>
      <c r="L91" s="278"/>
      <c r="M91" s="1925"/>
      <c r="N91" s="398"/>
      <c r="O91" s="1688"/>
      <c r="P91" s="1688"/>
      <c r="AH91" s="1695">
        <v>0</v>
      </c>
    </row>
    <row s="5468" customFormat="1" customHeight="1" ht="0.75" hidden="1">
      <c r="A92" s="1844"/>
      <c r="B92" s="1844"/>
      <c r="C92" s="433" t="s">
        <v>1163</v>
      </c>
      <c r="D92" s="2526"/>
      <c r="E92" s="2268"/>
      <c r="F92" s="2447"/>
      <c r="G92" s="464"/>
      <c r="H92" s="1564"/>
      <c r="I92" s="715"/>
      <c r="J92" s="635"/>
      <c r="K92" s="1564"/>
      <c r="L92" s="278"/>
      <c r="M92" s="405"/>
      <c r="N92" s="398"/>
      <c r="O92" s="1688"/>
      <c r="P92" s="1688"/>
      <c r="AH92" s="1695">
        <v>0</v>
      </c>
    </row>
    <row s="5468" customFormat="1" customHeight="1" ht="45" hidden="1">
      <c r="A93" s="1844" t="s">
        <v>168</v>
      </c>
      <c r="B93" s="1844" t="s">
        <v>169</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310</v>
      </c>
      <c r="M93" s="405"/>
      <c r="N93" s="398"/>
      <c r="O93" s="1688"/>
      <c r="P93" s="1688"/>
      <c r="AH93" s="1695">
        <v>0</v>
      </c>
    </row>
    <row s="5468" customFormat="1" customHeight="1" ht="18.75" hidden="1">
      <c r="A94" s="1844"/>
      <c r="B94" s="1844"/>
      <c r="C94" s="433" t="s">
        <v>1156</v>
      </c>
      <c r="D94" s="2526"/>
      <c r="E94" s="2268"/>
      <c r="F94" s="2447"/>
      <c r="G94" s="2491"/>
      <c r="H94" s="1564"/>
      <c r="I94" s="715" t="s">
        <v>1155</v>
      </c>
      <c r="J94" s="635"/>
      <c r="K94" s="1564"/>
      <c r="L94" s="278"/>
      <c r="M94" s="405"/>
      <c r="N94" s="398"/>
      <c r="O94" s="1688"/>
      <c r="P94" s="1688"/>
      <c r="AH94" s="1695">
        <v>0</v>
      </c>
    </row>
    <row s="5468" customFormat="1" customHeight="1" ht="0.75" hidden="1">
      <c r="A95" s="1844"/>
      <c r="B95" s="1844"/>
      <c r="C95" s="433" t="s">
        <v>1163</v>
      </c>
      <c r="D95" s="2526"/>
      <c r="E95" s="2268"/>
      <c r="F95" s="2447"/>
      <c r="G95" s="464"/>
      <c r="H95" s="1564"/>
      <c r="I95" s="715"/>
      <c r="J95" s="635"/>
      <c r="K95" s="1564"/>
      <c r="L95" s="278"/>
      <c r="M95" s="405"/>
      <c r="N95" s="398"/>
      <c r="O95" s="1688"/>
      <c r="P95" s="1688"/>
      <c r="AH95" s="1695">
        <v>0</v>
      </c>
    </row>
    <row s="5468" customFormat="1" customHeight="1" ht="45" hidden="1">
      <c r="A96" s="1844" t="s">
        <v>174</v>
      </c>
      <c r="B96" s="1844" t="s">
        <v>175</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310</v>
      </c>
      <c r="M96" s="405"/>
      <c r="N96" s="398"/>
      <c r="O96" s="1688"/>
      <c r="P96" s="1688"/>
      <c r="AH96" s="1695">
        <v>0</v>
      </c>
    </row>
    <row s="5468" customFormat="1" customHeight="1" ht="18.75" hidden="1">
      <c r="A97" s="1844"/>
      <c r="B97" s="1844"/>
      <c r="C97" s="433" t="s">
        <v>1156</v>
      </c>
      <c r="D97" s="2526"/>
      <c r="E97" s="2268"/>
      <c r="F97" s="2447"/>
      <c r="G97" s="2491"/>
      <c r="H97" s="1564"/>
      <c r="I97" s="715" t="s">
        <v>1155</v>
      </c>
      <c r="J97" s="635"/>
      <c r="K97" s="1564"/>
      <c r="L97" s="278"/>
      <c r="M97" s="405"/>
      <c r="N97" s="398"/>
      <c r="O97" s="1688"/>
      <c r="P97" s="1688"/>
      <c r="AH97" s="1695">
        <v>0</v>
      </c>
    </row>
    <row s="5468" customFormat="1" customHeight="1" ht="0.75" hidden="1">
      <c r="A98" s="1844"/>
      <c r="B98" s="1844"/>
      <c r="C98" s="433" t="s">
        <v>1163</v>
      </c>
      <c r="D98" s="2526"/>
      <c r="E98" s="2268"/>
      <c r="F98" s="2447"/>
      <c r="G98" s="464"/>
      <c r="H98" s="1564"/>
      <c r="I98" s="715"/>
      <c r="J98" s="635"/>
      <c r="K98" s="1564"/>
      <c r="L98" s="278"/>
      <c r="M98" s="405"/>
      <c r="N98" s="398"/>
      <c r="O98" s="1688"/>
      <c r="P98" s="1688"/>
      <c r="AH98" s="1695">
        <v>0</v>
      </c>
    </row>
    <row s="5468" customFormat="1" customHeight="1" ht="18.75" hidden="1">
      <c r="A99" s="1844" t="s">
        <v>180</v>
      </c>
      <c r="B99" s="1844" t="s">
        <v>181</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310</v>
      </c>
      <c r="M99" s="405"/>
      <c r="N99" s="398"/>
      <c r="O99" s="1688"/>
      <c r="P99" s="1688"/>
      <c r="AH99" s="1695">
        <v>0</v>
      </c>
    </row>
    <row s="5468" customFormat="1" customHeight="1" ht="18.75" hidden="1">
      <c r="A100" s="1844"/>
      <c r="B100" s="1844"/>
      <c r="C100" s="433" t="s">
        <v>1156</v>
      </c>
      <c r="D100" s="2526"/>
      <c r="E100" s="2268"/>
      <c r="F100" s="2447"/>
      <c r="G100" s="2491"/>
      <c r="H100" s="1564"/>
      <c r="I100" s="715" t="s">
        <v>1155</v>
      </c>
      <c r="J100" s="635"/>
      <c r="K100" s="1564"/>
      <c r="L100" s="278"/>
      <c r="M100" s="405"/>
      <c r="N100" s="398"/>
      <c r="O100" s="1688"/>
      <c r="P100" s="1688"/>
      <c r="AH100" s="1695">
        <v>0</v>
      </c>
    </row>
    <row s="5468" customFormat="1" customHeight="1" ht="0.75" hidden="1">
      <c r="A101" s="1844"/>
      <c r="B101" s="1844"/>
      <c r="C101" s="433" t="s">
        <v>1163</v>
      </c>
      <c r="D101" s="2526"/>
      <c r="E101" s="2268"/>
      <c r="F101" s="2447"/>
      <c r="G101" s="464"/>
      <c r="H101" s="1564"/>
      <c r="I101" s="715"/>
      <c r="J101" s="635"/>
      <c r="K101" s="1564"/>
      <c r="L101" s="278"/>
      <c r="M101" s="405"/>
      <c r="N101" s="398"/>
      <c r="O101" s="1688"/>
      <c r="P101" s="1688"/>
      <c r="AH101" s="1695">
        <v>0</v>
      </c>
    </row>
    <row s="5468" customFormat="1" customHeight="1" ht="18.75" hidden="1">
      <c r="A102" s="1844" t="s">
        <v>186</v>
      </c>
      <c r="B102" s="1844" t="s">
        <v>187</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310</v>
      </c>
      <c r="M102" s="405"/>
      <c r="N102" s="398"/>
      <c r="O102" s="1688"/>
      <c r="P102" s="1688"/>
      <c r="AH102" s="1695">
        <v>0</v>
      </c>
    </row>
    <row s="5468" customFormat="1" customHeight="1" ht="18.75" hidden="1">
      <c r="A103" s="1844"/>
      <c r="B103" s="1844"/>
      <c r="C103" s="433" t="s">
        <v>1156</v>
      </c>
      <c r="D103" s="2526"/>
      <c r="E103" s="2268"/>
      <c r="F103" s="2447"/>
      <c r="G103" s="2491"/>
      <c r="H103" s="1564"/>
      <c r="I103" s="715" t="s">
        <v>1155</v>
      </c>
      <c r="J103" s="635"/>
      <c r="K103" s="1564"/>
      <c r="L103" s="278"/>
      <c r="M103" s="405"/>
      <c r="N103" s="398"/>
      <c r="O103" s="1688"/>
      <c r="P103" s="1688"/>
      <c r="AH103" s="1695">
        <v>0</v>
      </c>
    </row>
    <row s="5468" customFormat="1" customHeight="1" ht="0.75" hidden="1">
      <c r="A104" s="1844"/>
      <c r="B104" s="1844"/>
      <c r="C104" s="433" t="s">
        <v>1163</v>
      </c>
      <c r="D104" s="2526"/>
      <c r="E104" s="2268"/>
      <c r="F104" s="2447"/>
      <c r="G104" s="464"/>
      <c r="H104" s="1564"/>
      <c r="I104" s="715"/>
      <c r="J104" s="635"/>
      <c r="K104" s="1564"/>
      <c r="L104" s="278"/>
      <c r="M104" s="405"/>
      <c r="N104" s="398"/>
      <c r="O104" s="1688"/>
      <c r="P104" s="1688"/>
      <c r="AH104" s="1695">
        <v>0</v>
      </c>
    </row>
    <row s="5468" customFormat="1" customHeight="1" ht="18.75" hidden="1">
      <c r="A105" s="1844" t="s">
        <v>192</v>
      </c>
      <c r="B105" s="1844" t="s">
        <v>193</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310</v>
      </c>
      <c r="M105" s="405"/>
      <c r="N105" s="398"/>
      <c r="O105" s="1688"/>
      <c r="P105" s="1688"/>
      <c r="AH105" s="1695">
        <v>0</v>
      </c>
    </row>
    <row s="5468" customFormat="1" customHeight="1" ht="18.75" hidden="1">
      <c r="A106" s="1844"/>
      <c r="B106" s="1844"/>
      <c r="C106" s="433" t="s">
        <v>1156</v>
      </c>
      <c r="D106" s="2526"/>
      <c r="E106" s="2268"/>
      <c r="F106" s="2447"/>
      <c r="G106" s="2491"/>
      <c r="H106" s="1564"/>
      <c r="I106" s="715" t="s">
        <v>1155</v>
      </c>
      <c r="J106" s="635"/>
      <c r="K106" s="1564"/>
      <c r="L106" s="278"/>
      <c r="M106" s="405"/>
      <c r="N106" s="398"/>
      <c r="O106" s="1688"/>
      <c r="P106" s="1688"/>
      <c r="AH106" s="1695">
        <v>0</v>
      </c>
    </row>
    <row s="5468" customFormat="1" customHeight="1" ht="0.75" hidden="1">
      <c r="A107" s="1844"/>
      <c r="B107" s="1844"/>
      <c r="C107" s="433" t="s">
        <v>1163</v>
      </c>
      <c r="D107" s="2526"/>
      <c r="E107" s="2268"/>
      <c r="F107" s="2447"/>
      <c r="G107" s="464"/>
      <c r="H107" s="1564"/>
      <c r="I107" s="715"/>
      <c r="J107" s="635"/>
      <c r="K107" s="1564"/>
      <c r="L107" s="278"/>
      <c r="M107" s="405"/>
      <c r="N107" s="398"/>
      <c r="O107" s="1688"/>
      <c r="P107" s="1688"/>
      <c r="AH107" s="1695">
        <v>0</v>
      </c>
    </row>
    <row s="5468" customFormat="1" customHeight="1" ht="18.75" hidden="1">
      <c r="A108" s="1844" t="s">
        <v>198</v>
      </c>
      <c r="B108" s="1844" t="s">
        <v>199</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310</v>
      </c>
      <c r="M108" s="405"/>
      <c r="N108" s="398"/>
      <c r="O108" s="1688"/>
      <c r="P108" s="1688"/>
      <c r="AH108" s="1695">
        <v>0</v>
      </c>
    </row>
    <row s="5468" customFormat="1" customHeight="1" ht="18.75" hidden="1">
      <c r="A109" s="1844"/>
      <c r="B109" s="1844"/>
      <c r="C109" s="433" t="s">
        <v>1156</v>
      </c>
      <c r="D109" s="2526"/>
      <c r="E109" s="2268"/>
      <c r="F109" s="2447"/>
      <c r="G109" s="2491"/>
      <c r="H109" s="1564"/>
      <c r="I109" s="715" t="s">
        <v>1155</v>
      </c>
      <c r="J109" s="635"/>
      <c r="K109" s="1564"/>
      <c r="L109" s="278"/>
      <c r="M109" s="405"/>
      <c r="N109" s="398"/>
      <c r="O109" s="1688"/>
      <c r="P109" s="1688"/>
      <c r="AH109" s="1695">
        <v>0</v>
      </c>
    </row>
    <row s="5468" customFormat="1" customHeight="1" ht="0.75" hidden="1">
      <c r="A110" s="1844"/>
      <c r="B110" s="1844"/>
      <c r="C110" s="433" t="s">
        <v>1163</v>
      </c>
      <c r="D110" s="2526"/>
      <c r="E110" s="2268"/>
      <c r="F110" s="2447"/>
      <c r="G110" s="464"/>
      <c r="H110" s="1564"/>
      <c r="I110" s="715"/>
      <c r="J110" s="635"/>
      <c r="K110" s="1564"/>
      <c r="L110" s="278"/>
      <c r="M110" s="405"/>
      <c r="N110" s="398"/>
      <c r="O110" s="1688"/>
      <c r="P110" s="1688"/>
      <c r="AH110" s="1695">
        <v>0</v>
      </c>
    </row>
    <row s="5468" customFormat="1" customHeight="1" ht="18.75" hidden="1">
      <c r="A111" s="1844" t="s">
        <v>204</v>
      </c>
      <c r="B111" s="1844" t="s">
        <v>205</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310</v>
      </c>
      <c r="M111" s="405"/>
      <c r="N111" s="398"/>
      <c r="O111" s="1688"/>
      <c r="P111" s="1688"/>
      <c r="AH111" s="1695">
        <v>0</v>
      </c>
    </row>
    <row s="5468" customFormat="1" customHeight="1" ht="18.75" hidden="1">
      <c r="A112" s="1844"/>
      <c r="B112" s="1844"/>
      <c r="C112" s="433" t="s">
        <v>1156</v>
      </c>
      <c r="D112" s="2526"/>
      <c r="E112" s="2268"/>
      <c r="F112" s="2447"/>
      <c r="G112" s="2491"/>
      <c r="H112" s="1564"/>
      <c r="I112" s="715" t="s">
        <v>1155</v>
      </c>
      <c r="J112" s="635"/>
      <c r="K112" s="1564"/>
      <c r="L112" s="278"/>
      <c r="M112" s="405"/>
      <c r="N112" s="398"/>
      <c r="O112" s="1688"/>
      <c r="P112" s="1688"/>
      <c r="AH112" s="1695">
        <v>0</v>
      </c>
    </row>
    <row s="5468" customFormat="1" customHeight="1" ht="0.75" hidden="1">
      <c r="A113" s="1844"/>
      <c r="B113" s="1844"/>
      <c r="C113" s="433" t="s">
        <v>1163</v>
      </c>
      <c r="D113" s="2526"/>
      <c r="E113" s="2268"/>
      <c r="F113" s="2447"/>
      <c r="G113" s="464"/>
      <c r="H113" s="1564"/>
      <c r="I113" s="715"/>
      <c r="J113" s="635"/>
      <c r="K113" s="1564"/>
      <c r="L113" s="278"/>
      <c r="M113" s="405"/>
      <c r="N113" s="398"/>
      <c r="O113" s="1688"/>
      <c r="P113" s="1688"/>
      <c r="AH113" s="1695">
        <v>0</v>
      </c>
    </row>
    <row s="5468" customFormat="1" customHeight="1" ht="18.75" hidden="1">
      <c r="A114" s="1844" t="s">
        <v>224</v>
      </c>
      <c r="B114" s="1844" t="s">
        <v>225</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310</v>
      </c>
      <c r="M114" s="405"/>
      <c r="N114" s="398"/>
      <c r="O114" s="1688"/>
      <c r="P114" s="1688"/>
      <c r="AH114" s="1695">
        <v>0</v>
      </c>
    </row>
    <row s="5468" customFormat="1" customHeight="1" ht="18.75" hidden="1">
      <c r="A115" s="1844"/>
      <c r="B115" s="1844"/>
      <c r="C115" s="433" t="s">
        <v>1156</v>
      </c>
      <c r="D115" s="2526"/>
      <c r="E115" s="2268"/>
      <c r="F115" s="2447"/>
      <c r="G115" s="2491"/>
      <c r="H115" s="1564"/>
      <c r="I115" s="715" t="s">
        <v>1155</v>
      </c>
      <c r="J115" s="635"/>
      <c r="K115" s="1564"/>
      <c r="L115" s="278"/>
      <c r="M115" s="405"/>
      <c r="N115" s="398"/>
      <c r="O115" s="1688"/>
      <c r="P115" s="1688"/>
      <c r="AH115" s="1695">
        <v>0</v>
      </c>
    </row>
    <row s="5468" customFormat="1" customHeight="1" ht="0.75" hidden="1">
      <c r="A116" s="1844"/>
      <c r="B116" s="1844"/>
      <c r="C116" s="433" t="s">
        <v>1163</v>
      </c>
      <c r="D116" s="2526"/>
      <c r="E116" s="2268"/>
      <c r="F116" s="2447"/>
      <c r="G116" s="464"/>
      <c r="H116" s="1564"/>
      <c r="I116" s="715"/>
      <c r="J116" s="635"/>
      <c r="K116" s="1564"/>
      <c r="L116" s="278"/>
      <c r="M116" s="405"/>
      <c r="N116" s="398"/>
      <c r="O116" s="1688"/>
      <c r="P116" s="1688"/>
      <c r="AH116" s="1695">
        <v>0</v>
      </c>
    </row>
    <row s="5468" customFormat="1" customHeight="1" ht="18.75" hidden="1">
      <c r="A117" s="1844" t="s">
        <v>229</v>
      </c>
      <c r="B117" s="1844" t="s">
        <v>230</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310</v>
      </c>
      <c r="M117" s="405"/>
      <c r="N117" s="398"/>
      <c r="O117" s="1688"/>
      <c r="P117" s="1688"/>
      <c r="AH117" s="1695">
        <v>0</v>
      </c>
    </row>
    <row s="5468" customFormat="1" customHeight="1" ht="18.75" hidden="1">
      <c r="A118" s="1844"/>
      <c r="B118" s="1844"/>
      <c r="C118" s="433" t="s">
        <v>1156</v>
      </c>
      <c r="D118" s="2526"/>
      <c r="E118" s="2268"/>
      <c r="F118" s="2447"/>
      <c r="G118" s="2491"/>
      <c r="H118" s="1564"/>
      <c r="I118" s="715" t="s">
        <v>1155</v>
      </c>
      <c r="J118" s="635"/>
      <c r="K118" s="1564"/>
      <c r="L118" s="278"/>
      <c r="M118" s="405"/>
      <c r="N118" s="398"/>
      <c r="O118" s="1688"/>
      <c r="P118" s="1688"/>
      <c r="AH118" s="1695">
        <v>0</v>
      </c>
    </row>
    <row s="5468" customFormat="1" customHeight="1" ht="0.75" hidden="1">
      <c r="A119" s="1844"/>
      <c r="B119" s="1844"/>
      <c r="C119" s="433" t="s">
        <v>1163</v>
      </c>
      <c r="D119" s="2526"/>
      <c r="E119" s="2268"/>
      <c r="F119" s="2447"/>
      <c r="G119" s="464"/>
      <c r="H119" s="1564"/>
      <c r="I119" s="715"/>
      <c r="J119" s="635"/>
      <c r="K119" s="1564"/>
      <c r="L119" s="278"/>
      <c r="M119" s="405"/>
      <c r="N119" s="398"/>
      <c r="O119" s="1688"/>
      <c r="P119" s="1688"/>
      <c r="AH119" s="1695">
        <v>0</v>
      </c>
    </row>
    <row s="5468" customFormat="1" customHeight="1" ht="18.75" hidden="1">
      <c r="A120" s="1844" t="s">
        <v>234</v>
      </c>
      <c r="B120" s="1844" t="s">
        <v>235</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310</v>
      </c>
      <c r="M120" s="405"/>
      <c r="N120" s="398"/>
      <c r="O120" s="1688"/>
      <c r="P120" s="1688"/>
      <c r="AH120" s="1695">
        <v>0</v>
      </c>
    </row>
    <row s="5468" customFormat="1" customHeight="1" ht="18.75" hidden="1">
      <c r="A121" s="1844"/>
      <c r="B121" s="1844"/>
      <c r="C121" s="433" t="s">
        <v>1156</v>
      </c>
      <c r="D121" s="2526"/>
      <c r="E121" s="2268"/>
      <c r="F121" s="2447"/>
      <c r="G121" s="2491"/>
      <c r="H121" s="1564"/>
      <c r="I121" s="715" t="s">
        <v>1155</v>
      </c>
      <c r="J121" s="635"/>
      <c r="K121" s="1564"/>
      <c r="L121" s="278"/>
      <c r="M121" s="405"/>
      <c r="N121" s="398"/>
      <c r="O121" s="1688"/>
      <c r="P121" s="1688"/>
      <c r="AH121" s="1695">
        <v>0</v>
      </c>
    </row>
    <row s="5468" customFormat="1" customHeight="1" ht="0.75" hidden="1">
      <c r="A122" s="1844"/>
      <c r="B122" s="1844"/>
      <c r="C122" s="433" t="s">
        <v>1163</v>
      </c>
      <c r="D122" s="2526"/>
      <c r="E122" s="2268"/>
      <c r="F122" s="2447"/>
      <c r="G122" s="464"/>
      <c r="H122" s="1564"/>
      <c r="I122" s="715"/>
      <c r="J122" s="635"/>
      <c r="K122" s="1564"/>
      <c r="L122" s="278"/>
      <c r="M122" s="405"/>
      <c r="N122" s="398"/>
      <c r="O122" s="1688"/>
      <c r="P122" s="1688"/>
      <c r="AH122" s="1695">
        <v>0</v>
      </c>
    </row>
    <row s="5468" customFormat="1" customHeight="1" ht="18.75" hidden="1">
      <c r="A123" s="1844" t="s">
        <v>239</v>
      </c>
      <c r="B123" s="1844" t="s">
        <v>240</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310</v>
      </c>
      <c r="M123" s="405"/>
      <c r="N123" s="398"/>
      <c r="O123" s="1688"/>
      <c r="P123" s="1688"/>
      <c r="AH123" s="1695">
        <v>0</v>
      </c>
    </row>
    <row s="5468" customFormat="1" customHeight="1" ht="18.75" hidden="1">
      <c r="A124" s="1844"/>
      <c r="B124" s="1844"/>
      <c r="C124" s="433" t="s">
        <v>1156</v>
      </c>
      <c r="D124" s="2526"/>
      <c r="E124" s="2268"/>
      <c r="F124" s="2447"/>
      <c r="G124" s="2491"/>
      <c r="H124" s="1564"/>
      <c r="I124" s="715" t="s">
        <v>1155</v>
      </c>
      <c r="J124" s="635"/>
      <c r="K124" s="1564"/>
      <c r="L124" s="278"/>
      <c r="M124" s="405"/>
      <c r="N124" s="398"/>
      <c r="O124" s="1688"/>
      <c r="P124" s="1688"/>
      <c r="AH124" s="1695">
        <v>0</v>
      </c>
    </row>
    <row s="5468" customFormat="1" customHeight="1" ht="0.75" hidden="1">
      <c r="A125" s="1844"/>
      <c r="B125" s="1844"/>
      <c r="C125" s="433" t="s">
        <v>1163</v>
      </c>
      <c r="D125" s="2526"/>
      <c r="E125" s="2268"/>
      <c r="F125" s="2447"/>
      <c r="G125" s="464"/>
      <c r="H125" s="1564"/>
      <c r="I125" s="715"/>
      <c r="J125" s="635"/>
      <c r="K125" s="1564"/>
      <c r="L125" s="278"/>
      <c r="M125" s="405"/>
      <c r="N125" s="398"/>
      <c r="O125" s="1688"/>
      <c r="P125" s="1688"/>
      <c r="AH125" s="1695">
        <v>0</v>
      </c>
    </row>
    <row s="5468" customFormat="1" customHeight="1" ht="18.75" hidden="1">
      <c r="A126" s="1844" t="s">
        <v>244</v>
      </c>
      <c r="B126" s="1844" t="s">
        <v>245</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310</v>
      </c>
      <c r="M126" s="405"/>
      <c r="N126" s="398"/>
      <c r="O126" s="1688"/>
      <c r="P126" s="1688"/>
      <c r="AH126" s="1695">
        <v>0</v>
      </c>
    </row>
    <row s="5468" customFormat="1" customHeight="1" ht="18.75" hidden="1">
      <c r="A127" s="1844"/>
      <c r="B127" s="1844"/>
      <c r="C127" s="433" t="s">
        <v>1156</v>
      </c>
      <c r="D127" s="2526"/>
      <c r="E127" s="2268"/>
      <c r="F127" s="2447"/>
      <c r="G127" s="2491"/>
      <c r="H127" s="1564"/>
      <c r="I127" s="715" t="s">
        <v>1155</v>
      </c>
      <c r="J127" s="635"/>
      <c r="K127" s="1564"/>
      <c r="L127" s="278"/>
      <c r="M127" s="405"/>
      <c r="N127" s="398"/>
      <c r="O127" s="1688"/>
      <c r="P127" s="1688"/>
      <c r="AH127" s="1695">
        <v>0</v>
      </c>
    </row>
    <row s="5468" customFormat="1" customHeight="1" ht="0.75" hidden="1">
      <c r="A128" s="1844"/>
      <c r="B128" s="1844"/>
      <c r="C128" s="433" t="s">
        <v>1163</v>
      </c>
      <c r="D128" s="2526"/>
      <c r="E128" s="2268"/>
      <c r="F128" s="2447"/>
      <c r="G128" s="464"/>
      <c r="H128" s="1564"/>
      <c r="I128" s="715"/>
      <c r="J128" s="635"/>
      <c r="K128" s="1564"/>
      <c r="L128" s="278"/>
      <c r="M128" s="405"/>
      <c r="N128" s="398"/>
      <c r="O128" s="1688"/>
      <c r="P128" s="1688"/>
      <c r="AH128" s="1695">
        <v>0</v>
      </c>
    </row>
    <row s="5468" customFormat="1" customHeight="1" ht="18.75" hidden="1">
      <c r="A129" s="1844" t="s">
        <v>251</v>
      </c>
      <c r="B129" s="1844" t="s">
        <v>252</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тарифы на горячую воду (горячее водоснабжение)</v>
      </c>
      <c r="H129" s="1926"/>
      <c r="I129" s="1803"/>
      <c r="J129" s="1837"/>
      <c r="K129" s="1842"/>
      <c r="L129" s="1926" t="s">
        <v>310</v>
      </c>
      <c r="M129" s="405"/>
      <c r="N129" s="398"/>
      <c r="O129" s="1688"/>
      <c r="P129" s="1688"/>
      <c r="AH129" s="1695">
        <v>0</v>
      </c>
    </row>
    <row s="5468" customFormat="1" customHeight="1" ht="18.75" hidden="1">
      <c r="A130" s="1844"/>
      <c r="B130" s="1844"/>
      <c r="C130" s="433" t="s">
        <v>1156</v>
      </c>
      <c r="D130" s="2526"/>
      <c r="E130" s="2268"/>
      <c r="F130" s="2447"/>
      <c r="G130" s="2491"/>
      <c r="H130" s="1564"/>
      <c r="I130" s="715" t="s">
        <v>1155</v>
      </c>
      <c r="J130" s="635"/>
      <c r="K130" s="1564"/>
      <c r="L130" s="278"/>
      <c r="M130" s="405"/>
      <c r="N130" s="398"/>
      <c r="O130" s="1688"/>
      <c r="P130" s="1688"/>
      <c r="AH130" s="1695">
        <v>0</v>
      </c>
    </row>
    <row s="5468" customFormat="1" customHeight="1" ht="0.75" hidden="1">
      <c r="A131" s="1844"/>
      <c r="B131" s="1844"/>
      <c r="C131" s="433" t="s">
        <v>1163</v>
      </c>
      <c r="D131" s="2526"/>
      <c r="E131" s="2268"/>
      <c r="F131" s="2447"/>
      <c r="G131" s="464"/>
      <c r="H131" s="1564"/>
      <c r="I131" s="715"/>
      <c r="J131" s="635"/>
      <c r="K131" s="1564"/>
      <c r="L131" s="278"/>
      <c r="M131" s="405"/>
      <c r="N131" s="398"/>
      <c r="O131" s="1688"/>
      <c r="P131" s="1688"/>
      <c r="AH131" s="1695">
        <v>0</v>
      </c>
    </row>
    <row s="5468" customFormat="1" customHeight="1" ht="18.75" hidden="1">
      <c r="A132" s="1844" t="s">
        <v>259</v>
      </c>
      <c r="B132" s="1844" t="s">
        <v>260</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310</v>
      </c>
      <c r="M132" s="405"/>
      <c r="N132" s="398"/>
      <c r="O132" s="1688"/>
      <c r="P132" s="1688"/>
      <c r="AH132" s="1695">
        <v>0</v>
      </c>
    </row>
    <row s="5468" customFormat="1" customHeight="1" ht="18.75" hidden="1">
      <c r="A133" s="1844"/>
      <c r="B133" s="1844"/>
      <c r="C133" s="433" t="s">
        <v>1156</v>
      </c>
      <c r="D133" s="2526"/>
      <c r="E133" s="2268"/>
      <c r="F133" s="2447"/>
      <c r="G133" s="2491"/>
      <c r="H133" s="1564"/>
      <c r="I133" s="715" t="s">
        <v>1155</v>
      </c>
      <c r="J133" s="635"/>
      <c r="K133" s="1564"/>
      <c r="L133" s="278"/>
      <c r="M133" s="405"/>
      <c r="N133" s="398"/>
      <c r="O133" s="1688"/>
      <c r="P133" s="1688"/>
      <c r="AH133" s="1695">
        <v>0</v>
      </c>
    </row>
    <row s="5468" customFormat="1" customHeight="1" ht="0.75" hidden="1">
      <c r="A134" s="1844"/>
      <c r="B134" s="1844"/>
      <c r="C134" s="433" t="s">
        <v>1163</v>
      </c>
      <c r="D134" s="2526"/>
      <c r="E134" s="2268"/>
      <c r="F134" s="2447"/>
      <c r="G134" s="464"/>
      <c r="H134" s="1564"/>
      <c r="I134" s="715"/>
      <c r="J134" s="635"/>
      <c r="K134" s="1564"/>
      <c r="L134" s="278"/>
      <c r="M134" s="405"/>
      <c r="N134" s="398"/>
      <c r="O134" s="1688"/>
      <c r="P134" s="1688"/>
      <c r="AH134" s="1695">
        <v>0</v>
      </c>
    </row>
    <row s="5468" customFormat="1" customHeight="1" ht="18.75" hidden="1">
      <c r="A135" s="1844" t="s">
        <v>264</v>
      </c>
      <c r="B135" s="1844" t="s">
        <v>265</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310</v>
      </c>
      <c r="M135" s="405"/>
      <c r="N135" s="398"/>
      <c r="O135" s="1688"/>
      <c r="P135" s="1688"/>
      <c r="AH135" s="1695">
        <v>0</v>
      </c>
    </row>
    <row s="5468" customFormat="1" customHeight="1" ht="18.75" hidden="1">
      <c r="A136" s="1844"/>
      <c r="B136" s="1844"/>
      <c r="C136" s="433" t="s">
        <v>1156</v>
      </c>
      <c r="D136" s="2526"/>
      <c r="E136" s="2268"/>
      <c r="F136" s="2447"/>
      <c r="G136" s="2491"/>
      <c r="H136" s="1564"/>
      <c r="I136" s="715" t="s">
        <v>1155</v>
      </c>
      <c r="J136" s="635"/>
      <c r="K136" s="1564"/>
      <c r="L136" s="278"/>
      <c r="M136" s="405"/>
      <c r="N136" s="398"/>
      <c r="O136" s="1688"/>
      <c r="P136" s="1688"/>
      <c r="AH136" s="1695">
        <v>0</v>
      </c>
    </row>
    <row s="5468" customFormat="1" customHeight="1" ht="0.75" hidden="1">
      <c r="A137" s="1844"/>
      <c r="B137" s="1844"/>
      <c r="C137" s="433" t="s">
        <v>1163</v>
      </c>
      <c r="D137" s="2526"/>
      <c r="E137" s="2268"/>
      <c r="F137" s="2447"/>
      <c r="G137" s="464"/>
      <c r="H137" s="1564"/>
      <c r="I137" s="715"/>
      <c r="J137" s="635"/>
      <c r="K137" s="1564"/>
      <c r="L137" s="278"/>
      <c r="M137" s="405"/>
      <c r="N137" s="398"/>
      <c r="O137" s="1688"/>
      <c r="P137" s="1688"/>
      <c r="AH137" s="1695">
        <v>0</v>
      </c>
    </row>
    <row s="5468" customFormat="1" customHeight="1" ht="18.75" hidden="1">
      <c r="A138" s="1844" t="s">
        <v>269</v>
      </c>
      <c r="B138" s="1844" t="s">
        <v>270</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310</v>
      </c>
      <c r="M138" s="405"/>
      <c r="N138" s="398"/>
      <c r="O138" s="1688"/>
      <c r="P138" s="1688"/>
      <c r="AH138" s="1695">
        <v>0</v>
      </c>
    </row>
    <row s="5468" customFormat="1" customHeight="1" ht="18.75" hidden="1">
      <c r="A139" s="1844"/>
      <c r="B139" s="1844"/>
      <c r="C139" s="433" t="s">
        <v>1156</v>
      </c>
      <c r="D139" s="2526"/>
      <c r="E139" s="2268"/>
      <c r="F139" s="2447"/>
      <c r="G139" s="2491"/>
      <c r="H139" s="1564"/>
      <c r="I139" s="715" t="s">
        <v>1155</v>
      </c>
      <c r="J139" s="635"/>
      <c r="K139" s="1564"/>
      <c r="L139" s="278"/>
      <c r="M139" s="405"/>
      <c r="N139" s="398"/>
      <c r="O139" s="1688"/>
      <c r="P139" s="1688"/>
      <c r="AH139" s="1695">
        <v>0</v>
      </c>
    </row>
    <row s="5468" customFormat="1" customHeight="1" ht="0.75" hidden="1">
      <c r="A140" s="1844"/>
      <c r="B140" s="1844"/>
      <c r="C140" s="433" t="s">
        <v>1163</v>
      </c>
      <c r="D140" s="2526"/>
      <c r="E140" s="2268"/>
      <c r="F140" s="2447"/>
      <c r="G140" s="464"/>
      <c r="H140" s="1564"/>
      <c r="I140" s="715"/>
      <c r="J140" s="635"/>
      <c r="K140" s="1564"/>
      <c r="L140" s="278"/>
      <c r="M140" s="405"/>
      <c r="N140" s="398"/>
      <c r="O140" s="1688"/>
      <c r="P140" s="1688"/>
      <c r="AH140" s="1695">
        <v>0</v>
      </c>
    </row>
    <row s="5468" customFormat="1" customHeight="1" ht="18.75" hidden="1">
      <c r="A141" s="1844" t="s">
        <v>274</v>
      </c>
      <c r="B141" s="1844" t="s">
        <v>275</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310</v>
      </c>
      <c r="M141" s="405"/>
      <c r="N141" s="398"/>
      <c r="O141" s="1688"/>
      <c r="P141" s="1688"/>
      <c r="AH141" s="1695">
        <v>0</v>
      </c>
    </row>
    <row s="5468" customFormat="1" customHeight="1" ht="18.75" hidden="1">
      <c r="A142" s="1844"/>
      <c r="B142" s="1844"/>
      <c r="C142" s="433" t="s">
        <v>1156</v>
      </c>
      <c r="D142" s="2526"/>
      <c r="E142" s="2268"/>
      <c r="F142" s="2447"/>
      <c r="G142" s="2491"/>
      <c r="H142" s="1564"/>
      <c r="I142" s="715" t="s">
        <v>1155</v>
      </c>
      <c r="J142" s="635"/>
      <c r="K142" s="1564"/>
      <c r="L142" s="278"/>
      <c r="M142" s="405"/>
      <c r="N142" s="398"/>
      <c r="O142" s="1688"/>
      <c r="P142" s="1688"/>
      <c r="AH142" s="1695">
        <v>0</v>
      </c>
    </row>
    <row s="5468" customFormat="1" customHeight="1" ht="0.75" hidden="1">
      <c r="A143" s="1844"/>
      <c r="B143" s="1844"/>
      <c r="C143" s="433" t="s">
        <v>1163</v>
      </c>
      <c r="D143" s="2526"/>
      <c r="E143" s="2268"/>
      <c r="F143" s="2447"/>
      <c r="G143" s="464"/>
      <c r="H143" s="1564"/>
      <c r="I143" s="715"/>
      <c r="J143" s="635"/>
      <c r="K143" s="1564"/>
      <c r="L143" s="278"/>
      <c r="M143" s="405"/>
      <c r="N143" s="398"/>
      <c r="O143" s="1688"/>
      <c r="P143" s="1688"/>
      <c r="AH143" s="1695">
        <v>0</v>
      </c>
    </row>
    <row s="5468" customFormat="1" customHeight="1" ht="18.75" hidden="1">
      <c r="A144" s="1844" t="s">
        <v>279</v>
      </c>
      <c r="B144" s="1844" t="s">
        <v>280</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310</v>
      </c>
      <c r="M144" s="405"/>
      <c r="N144" s="398"/>
      <c r="O144" s="1688"/>
      <c r="P144" s="1688"/>
      <c r="AH144" s="1695">
        <v>0</v>
      </c>
    </row>
    <row s="5468" customFormat="1" customHeight="1" ht="18.75" hidden="1">
      <c r="A145" s="1844"/>
      <c r="B145" s="1844"/>
      <c r="C145" s="433" t="s">
        <v>1156</v>
      </c>
      <c r="D145" s="2526"/>
      <c r="E145" s="2268"/>
      <c r="F145" s="2447"/>
      <c r="G145" s="2491"/>
      <c r="H145" s="1564"/>
      <c r="I145" s="715" t="s">
        <v>1155</v>
      </c>
      <c r="J145" s="635"/>
      <c r="K145" s="1564"/>
      <c r="L145" s="278"/>
      <c r="M145" s="405"/>
      <c r="N145" s="398"/>
      <c r="O145" s="1688"/>
      <c r="P145" s="1688"/>
      <c r="AH145" s="1695">
        <v>0</v>
      </c>
    </row>
    <row s="5468" customFormat="1" customHeight="1" ht="1.05">
      <c r="A146" s="1844"/>
      <c r="B146" s="1844"/>
      <c r="C146" s="433" t="s">
        <v>1163</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92</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4"/>
      <c r="H147" s="2524"/>
      <c r="I147" s="2524"/>
      <c r="J147" s="2524"/>
      <c r="K147" s="2524"/>
      <c r="L147" s="2524"/>
      <c r="M147" s="361"/>
      <c r="N147" s="398"/>
      <c r="AH147" s="438">
        <v>19</v>
      </c>
    </row>
    <row s="5468" customFormat="1" customHeight="1" ht="60.75" hidden="1">
      <c r="A148" s="1844" t="s">
        <v>156</v>
      </c>
      <c r="B148" s="1844" t="s">
        <v>157</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310</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5468" customFormat="1" customHeight="1" ht="18.75" hidden="1">
      <c r="A149" s="1844"/>
      <c r="B149" s="1844"/>
      <c r="C149" s="433" t="s">
        <v>1156</v>
      </c>
      <c r="D149" s="2526"/>
      <c r="E149" s="2268"/>
      <c r="F149" s="2447"/>
      <c r="G149" s="2491"/>
      <c r="H149" s="1564"/>
      <c r="I149" s="715" t="s">
        <v>1155</v>
      </c>
      <c r="J149" s="635"/>
      <c r="K149" s="1564"/>
      <c r="L149" s="278"/>
      <c r="M149" s="2234"/>
      <c r="N149" s="398"/>
      <c r="O149" s="1688"/>
      <c r="P149" s="1688"/>
      <c r="AH149" s="1695">
        <v>0</v>
      </c>
    </row>
    <row s="5468" customFormat="1" customHeight="1" ht="0.75" hidden="1">
      <c r="A150" s="1844"/>
      <c r="B150" s="1844"/>
      <c r="C150" s="433" t="s">
        <v>1163</v>
      </c>
      <c r="D150" s="2526"/>
      <c r="E150" s="2268"/>
      <c r="F150" s="2447"/>
      <c r="G150" s="464"/>
      <c r="H150" s="1564"/>
      <c r="I150" s="715"/>
      <c r="J150" s="635"/>
      <c r="K150" s="1564"/>
      <c r="L150" s="278"/>
      <c r="M150" s="2234"/>
      <c r="N150" s="398"/>
      <c r="O150" s="1688"/>
      <c r="P150" s="1688"/>
      <c r="AH150" s="1695">
        <v>0</v>
      </c>
    </row>
    <row s="5468" customFormat="1" customHeight="1" ht="45" hidden="1">
      <c r="A151" s="1844" t="s">
        <v>161</v>
      </c>
      <c r="B151" s="1844" t="s">
        <v>162</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310</v>
      </c>
      <c r="M151" s="2235"/>
      <c r="N151" s="398"/>
      <c r="O151" s="1688"/>
      <c r="P151" s="1688"/>
      <c r="AH151" s="1695">
        <v>0</v>
      </c>
    </row>
    <row s="5468" customFormat="1" customHeight="1" ht="18.75" hidden="1">
      <c r="A152" s="1844"/>
      <c r="B152" s="1844"/>
      <c r="C152" s="433" t="s">
        <v>1156</v>
      </c>
      <c r="D152" s="2526"/>
      <c r="E152" s="2268"/>
      <c r="F152" s="2447"/>
      <c r="G152" s="2491"/>
      <c r="H152" s="1564"/>
      <c r="I152" s="715" t="s">
        <v>1155</v>
      </c>
      <c r="J152" s="635"/>
      <c r="K152" s="1564"/>
      <c r="L152" s="278"/>
      <c r="M152" s="1925"/>
      <c r="N152" s="398"/>
      <c r="O152" s="1688"/>
      <c r="P152" s="1688"/>
      <c r="AH152" s="1695">
        <v>0</v>
      </c>
    </row>
    <row s="5468" customFormat="1" customHeight="1" ht="0.75" hidden="1">
      <c r="A153" s="1844"/>
      <c r="B153" s="1844"/>
      <c r="C153" s="433" t="s">
        <v>1163</v>
      </c>
      <c r="D153" s="2526"/>
      <c r="E153" s="2268"/>
      <c r="F153" s="2447"/>
      <c r="G153" s="464"/>
      <c r="H153" s="1564"/>
      <c r="I153" s="715"/>
      <c r="J153" s="635"/>
      <c r="K153" s="1564"/>
      <c r="L153" s="278"/>
      <c r="M153" s="405"/>
      <c r="N153" s="398"/>
      <c r="O153" s="1688"/>
      <c r="P153" s="1688"/>
      <c r="AH153" s="1695">
        <v>0</v>
      </c>
    </row>
    <row s="5468" customFormat="1" customHeight="1" ht="45" hidden="1">
      <c r="A154" s="1844" t="s">
        <v>168</v>
      </c>
      <c r="B154" s="1844" t="s">
        <v>169</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310</v>
      </c>
      <c r="M154" s="405"/>
      <c r="N154" s="398"/>
      <c r="O154" s="1688"/>
      <c r="P154" s="1688"/>
      <c r="AH154" s="1695">
        <v>0</v>
      </c>
    </row>
    <row s="5468" customFormat="1" customHeight="1" ht="18.75" hidden="1">
      <c r="A155" s="1844"/>
      <c r="B155" s="1844"/>
      <c r="C155" s="433" t="s">
        <v>1156</v>
      </c>
      <c r="D155" s="2526"/>
      <c r="E155" s="2268"/>
      <c r="F155" s="2447"/>
      <c r="G155" s="2491"/>
      <c r="H155" s="1564"/>
      <c r="I155" s="715" t="s">
        <v>1155</v>
      </c>
      <c r="J155" s="635"/>
      <c r="K155" s="1564"/>
      <c r="L155" s="278"/>
      <c r="M155" s="405"/>
      <c r="N155" s="398"/>
      <c r="O155" s="1688"/>
      <c r="P155" s="1688"/>
      <c r="AH155" s="1695">
        <v>0</v>
      </c>
    </row>
    <row s="5468" customFormat="1" customHeight="1" ht="0.75" hidden="1">
      <c r="A156" s="1844"/>
      <c r="B156" s="1844"/>
      <c r="C156" s="433" t="s">
        <v>1163</v>
      </c>
      <c r="D156" s="2526"/>
      <c r="E156" s="2268"/>
      <c r="F156" s="2447"/>
      <c r="G156" s="464"/>
      <c r="H156" s="1564"/>
      <c r="I156" s="715"/>
      <c r="J156" s="635"/>
      <c r="K156" s="1564"/>
      <c r="L156" s="278"/>
      <c r="M156" s="405"/>
      <c r="N156" s="398"/>
      <c r="O156" s="1688"/>
      <c r="P156" s="1688"/>
      <c r="AH156" s="1695">
        <v>0</v>
      </c>
    </row>
    <row s="5468" customFormat="1" customHeight="1" ht="45" hidden="1">
      <c r="A157" s="1844" t="s">
        <v>174</v>
      </c>
      <c r="B157" s="1844" t="s">
        <v>175</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310</v>
      </c>
      <c r="M157" s="405"/>
      <c r="N157" s="398"/>
      <c r="O157" s="1688"/>
      <c r="P157" s="1688"/>
      <c r="AH157" s="1695">
        <v>0</v>
      </c>
    </row>
    <row s="5468" customFormat="1" customHeight="1" ht="18.75" hidden="1">
      <c r="A158" s="1844"/>
      <c r="B158" s="1844"/>
      <c r="C158" s="433" t="s">
        <v>1156</v>
      </c>
      <c r="D158" s="2526"/>
      <c r="E158" s="2268"/>
      <c r="F158" s="2447"/>
      <c r="G158" s="2491"/>
      <c r="H158" s="1564"/>
      <c r="I158" s="715" t="s">
        <v>1155</v>
      </c>
      <c r="J158" s="635"/>
      <c r="K158" s="1564"/>
      <c r="L158" s="278"/>
      <c r="M158" s="405"/>
      <c r="N158" s="398"/>
      <c r="O158" s="1688"/>
      <c r="P158" s="1688"/>
      <c r="AH158" s="1695">
        <v>0</v>
      </c>
    </row>
    <row s="5468" customFormat="1" customHeight="1" ht="0.75" hidden="1">
      <c r="A159" s="1844"/>
      <c r="B159" s="1844"/>
      <c r="C159" s="433" t="s">
        <v>1163</v>
      </c>
      <c r="D159" s="2526"/>
      <c r="E159" s="2268"/>
      <c r="F159" s="2447"/>
      <c r="G159" s="464"/>
      <c r="H159" s="1564"/>
      <c r="I159" s="715"/>
      <c r="J159" s="635"/>
      <c r="K159" s="1564"/>
      <c r="L159" s="278"/>
      <c r="M159" s="405"/>
      <c r="N159" s="398"/>
      <c r="O159" s="1688"/>
      <c r="P159" s="1688"/>
      <c r="AH159" s="1695">
        <v>0</v>
      </c>
    </row>
    <row s="5468" customFormat="1" customHeight="1" ht="18.75" hidden="1">
      <c r="A160" s="1844" t="s">
        <v>180</v>
      </c>
      <c r="B160" s="1844" t="s">
        <v>181</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310</v>
      </c>
      <c r="M160" s="405"/>
      <c r="N160" s="398"/>
      <c r="O160" s="1688"/>
      <c r="P160" s="1688"/>
      <c r="AH160" s="1695">
        <v>0</v>
      </c>
    </row>
    <row s="5468" customFormat="1" customHeight="1" ht="18.75" hidden="1">
      <c r="A161" s="1844"/>
      <c r="B161" s="1844"/>
      <c r="C161" s="433" t="s">
        <v>1156</v>
      </c>
      <c r="D161" s="2526"/>
      <c r="E161" s="2268"/>
      <c r="F161" s="2447"/>
      <c r="G161" s="2491"/>
      <c r="H161" s="1564"/>
      <c r="I161" s="715" t="s">
        <v>1155</v>
      </c>
      <c r="J161" s="635"/>
      <c r="K161" s="1564"/>
      <c r="L161" s="278"/>
      <c r="M161" s="405"/>
      <c r="N161" s="398"/>
      <c r="O161" s="1688"/>
      <c r="P161" s="1688"/>
      <c r="AH161" s="1695">
        <v>0</v>
      </c>
    </row>
    <row s="5468" customFormat="1" customHeight="1" ht="0.75" hidden="1">
      <c r="A162" s="1844"/>
      <c r="B162" s="1844"/>
      <c r="C162" s="433" t="s">
        <v>1163</v>
      </c>
      <c r="D162" s="2526"/>
      <c r="E162" s="2268"/>
      <c r="F162" s="2447"/>
      <c r="G162" s="464"/>
      <c r="H162" s="1564"/>
      <c r="I162" s="715"/>
      <c r="J162" s="635"/>
      <c r="K162" s="1564"/>
      <c r="L162" s="278"/>
      <c r="M162" s="405"/>
      <c r="N162" s="398"/>
      <c r="O162" s="1688"/>
      <c r="P162" s="1688"/>
      <c r="AH162" s="1695">
        <v>0</v>
      </c>
    </row>
    <row s="5468" customFormat="1" customHeight="1" ht="18.75" hidden="1">
      <c r="A163" s="1844" t="s">
        <v>186</v>
      </c>
      <c r="B163" s="1844" t="s">
        <v>187</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310</v>
      </c>
      <c r="M163" s="405"/>
      <c r="N163" s="398"/>
      <c r="O163" s="1688"/>
      <c r="P163" s="1688"/>
      <c r="AH163" s="1695">
        <v>0</v>
      </c>
    </row>
    <row s="5468" customFormat="1" customHeight="1" ht="18.75" hidden="1">
      <c r="A164" s="1844"/>
      <c r="B164" s="1844"/>
      <c r="C164" s="433" t="s">
        <v>1156</v>
      </c>
      <c r="D164" s="2526"/>
      <c r="E164" s="2268"/>
      <c r="F164" s="2447"/>
      <c r="G164" s="2491"/>
      <c r="H164" s="1564"/>
      <c r="I164" s="715" t="s">
        <v>1155</v>
      </c>
      <c r="J164" s="635"/>
      <c r="K164" s="1564"/>
      <c r="L164" s="278"/>
      <c r="M164" s="405"/>
      <c r="N164" s="398"/>
      <c r="O164" s="1688"/>
      <c r="P164" s="1688"/>
      <c r="AH164" s="1695">
        <v>0</v>
      </c>
    </row>
    <row s="5468" customFormat="1" customHeight="1" ht="0.75" hidden="1">
      <c r="A165" s="1844"/>
      <c r="B165" s="1844"/>
      <c r="C165" s="433" t="s">
        <v>1163</v>
      </c>
      <c r="D165" s="2526"/>
      <c r="E165" s="2268"/>
      <c r="F165" s="2447"/>
      <c r="G165" s="464"/>
      <c r="H165" s="1564"/>
      <c r="I165" s="715"/>
      <c r="J165" s="635"/>
      <c r="K165" s="1564"/>
      <c r="L165" s="278"/>
      <c r="M165" s="405"/>
      <c r="N165" s="398"/>
      <c r="O165" s="1688"/>
      <c r="P165" s="1688"/>
      <c r="AH165" s="1695">
        <v>0</v>
      </c>
    </row>
    <row s="5468" customFormat="1" customHeight="1" ht="18.75" hidden="1">
      <c r="A166" s="1844" t="s">
        <v>192</v>
      </c>
      <c r="B166" s="1844" t="s">
        <v>193</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310</v>
      </c>
      <c r="M166" s="405"/>
      <c r="N166" s="398"/>
      <c r="O166" s="1688"/>
      <c r="P166" s="1688"/>
      <c r="AH166" s="1695">
        <v>0</v>
      </c>
    </row>
    <row s="5468" customFormat="1" customHeight="1" ht="18.75" hidden="1">
      <c r="A167" s="1844"/>
      <c r="B167" s="1844"/>
      <c r="C167" s="433" t="s">
        <v>1156</v>
      </c>
      <c r="D167" s="2526"/>
      <c r="E167" s="2268"/>
      <c r="F167" s="2447"/>
      <c r="G167" s="2491"/>
      <c r="H167" s="1564"/>
      <c r="I167" s="715" t="s">
        <v>1155</v>
      </c>
      <c r="J167" s="635"/>
      <c r="K167" s="1564"/>
      <c r="L167" s="278"/>
      <c r="M167" s="405"/>
      <c r="N167" s="398"/>
      <c r="O167" s="1688"/>
      <c r="P167" s="1688"/>
      <c r="AH167" s="1695">
        <v>0</v>
      </c>
    </row>
    <row s="5468" customFormat="1" customHeight="1" ht="0.75" hidden="1">
      <c r="A168" s="1844"/>
      <c r="B168" s="1844"/>
      <c r="C168" s="433" t="s">
        <v>1163</v>
      </c>
      <c r="D168" s="2526"/>
      <c r="E168" s="2268"/>
      <c r="F168" s="2447"/>
      <c r="G168" s="464"/>
      <c r="H168" s="1564"/>
      <c r="I168" s="715"/>
      <c r="J168" s="635"/>
      <c r="K168" s="1564"/>
      <c r="L168" s="278"/>
      <c r="M168" s="405"/>
      <c r="N168" s="398"/>
      <c r="O168" s="1688"/>
      <c r="P168" s="1688"/>
      <c r="AH168" s="1695">
        <v>0</v>
      </c>
    </row>
    <row s="5468" customFormat="1" customHeight="1" ht="18.75" hidden="1">
      <c r="A169" s="1844" t="s">
        <v>198</v>
      </c>
      <c r="B169" s="1844" t="s">
        <v>199</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310</v>
      </c>
      <c r="M169" s="405"/>
      <c r="N169" s="398"/>
      <c r="O169" s="1688"/>
      <c r="P169" s="1688"/>
      <c r="AH169" s="1695">
        <v>0</v>
      </c>
    </row>
    <row s="5468" customFormat="1" customHeight="1" ht="18.75" hidden="1">
      <c r="A170" s="1844"/>
      <c r="B170" s="1844"/>
      <c r="C170" s="433" t="s">
        <v>1156</v>
      </c>
      <c r="D170" s="2526"/>
      <c r="E170" s="2268"/>
      <c r="F170" s="2447"/>
      <c r="G170" s="2491"/>
      <c r="H170" s="1564"/>
      <c r="I170" s="715" t="s">
        <v>1155</v>
      </c>
      <c r="J170" s="635"/>
      <c r="K170" s="1564"/>
      <c r="L170" s="278"/>
      <c r="M170" s="405"/>
      <c r="N170" s="398"/>
      <c r="O170" s="1688"/>
      <c r="P170" s="1688"/>
      <c r="AH170" s="1695">
        <v>0</v>
      </c>
    </row>
    <row s="5468" customFormat="1" customHeight="1" ht="0.75" hidden="1">
      <c r="A171" s="1844"/>
      <c r="B171" s="1844"/>
      <c r="C171" s="433" t="s">
        <v>1163</v>
      </c>
      <c r="D171" s="2526"/>
      <c r="E171" s="2268"/>
      <c r="F171" s="2447"/>
      <c r="G171" s="464"/>
      <c r="H171" s="1564"/>
      <c r="I171" s="715"/>
      <c r="J171" s="635"/>
      <c r="K171" s="1564"/>
      <c r="L171" s="278"/>
      <c r="M171" s="405"/>
      <c r="N171" s="398"/>
      <c r="O171" s="1688"/>
      <c r="P171" s="1688"/>
      <c r="AH171" s="1695">
        <v>0</v>
      </c>
    </row>
    <row s="5468" customFormat="1" customHeight="1" ht="18.75" hidden="1">
      <c r="A172" s="1844" t="s">
        <v>204</v>
      </c>
      <c r="B172" s="1844" t="s">
        <v>205</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310</v>
      </c>
      <c r="M172" s="405"/>
      <c r="N172" s="398"/>
      <c r="O172" s="1688"/>
      <c r="P172" s="1688"/>
      <c r="AH172" s="1695">
        <v>0</v>
      </c>
    </row>
    <row s="5468" customFormat="1" customHeight="1" ht="18.75" hidden="1">
      <c r="A173" s="1844"/>
      <c r="B173" s="1844"/>
      <c r="C173" s="433" t="s">
        <v>1156</v>
      </c>
      <c r="D173" s="2526"/>
      <c r="E173" s="2268"/>
      <c r="F173" s="2447"/>
      <c r="G173" s="2491"/>
      <c r="H173" s="1564"/>
      <c r="I173" s="715" t="s">
        <v>1155</v>
      </c>
      <c r="J173" s="635"/>
      <c r="K173" s="1564"/>
      <c r="L173" s="278"/>
      <c r="M173" s="405"/>
      <c r="N173" s="398"/>
      <c r="O173" s="1688"/>
      <c r="P173" s="1688"/>
      <c r="AH173" s="1695">
        <v>0</v>
      </c>
    </row>
    <row s="5468" customFormat="1" customHeight="1" ht="0.75" hidden="1">
      <c r="A174" s="1844"/>
      <c r="B174" s="1844"/>
      <c r="C174" s="433" t="s">
        <v>1163</v>
      </c>
      <c r="D174" s="2526"/>
      <c r="E174" s="2268"/>
      <c r="F174" s="2447"/>
      <c r="G174" s="464"/>
      <c r="H174" s="1564"/>
      <c r="I174" s="715"/>
      <c r="J174" s="635"/>
      <c r="K174" s="1564"/>
      <c r="L174" s="278"/>
      <c r="M174" s="405"/>
      <c r="N174" s="398"/>
      <c r="O174" s="1688"/>
      <c r="P174" s="1688"/>
      <c r="AH174" s="1695">
        <v>0</v>
      </c>
    </row>
    <row s="5468" customFormat="1" customHeight="1" ht="18.75" hidden="1">
      <c r="A175" s="1844" t="s">
        <v>224</v>
      </c>
      <c r="B175" s="1844" t="s">
        <v>225</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310</v>
      </c>
      <c r="M175" s="405"/>
      <c r="N175" s="398"/>
      <c r="O175" s="1688"/>
      <c r="P175" s="1688"/>
      <c r="AH175" s="1695">
        <v>0</v>
      </c>
    </row>
    <row s="5468" customFormat="1" customHeight="1" ht="18.75" hidden="1">
      <c r="A176" s="1844"/>
      <c r="B176" s="1844"/>
      <c r="C176" s="433" t="s">
        <v>1156</v>
      </c>
      <c r="D176" s="2526"/>
      <c r="E176" s="2268"/>
      <c r="F176" s="2447"/>
      <c r="G176" s="2491"/>
      <c r="H176" s="1564"/>
      <c r="I176" s="715" t="s">
        <v>1155</v>
      </c>
      <c r="J176" s="635"/>
      <c r="K176" s="1564"/>
      <c r="L176" s="278"/>
      <c r="M176" s="405"/>
      <c r="N176" s="398"/>
      <c r="O176" s="1688"/>
      <c r="P176" s="1688"/>
      <c r="AH176" s="1695">
        <v>0</v>
      </c>
    </row>
    <row s="5468" customFormat="1" customHeight="1" ht="0.75" hidden="1">
      <c r="A177" s="1844"/>
      <c r="B177" s="1844"/>
      <c r="C177" s="433" t="s">
        <v>1163</v>
      </c>
      <c r="D177" s="2526"/>
      <c r="E177" s="2268"/>
      <c r="F177" s="2447"/>
      <c r="G177" s="464"/>
      <c r="H177" s="1564"/>
      <c r="I177" s="715"/>
      <c r="J177" s="635"/>
      <c r="K177" s="1564"/>
      <c r="L177" s="278"/>
      <c r="M177" s="405"/>
      <c r="N177" s="398"/>
      <c r="O177" s="1688"/>
      <c r="P177" s="1688"/>
      <c r="AH177" s="1695">
        <v>0</v>
      </c>
    </row>
    <row s="5468" customFormat="1" customHeight="1" ht="18.75" hidden="1">
      <c r="A178" s="1844" t="s">
        <v>229</v>
      </c>
      <c r="B178" s="1844" t="s">
        <v>230</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310</v>
      </c>
      <c r="M178" s="405"/>
      <c r="N178" s="398"/>
      <c r="O178" s="1688"/>
      <c r="P178" s="1688"/>
      <c r="AH178" s="1695">
        <v>0</v>
      </c>
    </row>
    <row s="5468" customFormat="1" customHeight="1" ht="18.75" hidden="1">
      <c r="A179" s="1844"/>
      <c r="B179" s="1844"/>
      <c r="C179" s="433" t="s">
        <v>1156</v>
      </c>
      <c r="D179" s="2526"/>
      <c r="E179" s="2268"/>
      <c r="F179" s="2447"/>
      <c r="G179" s="2491"/>
      <c r="H179" s="1564"/>
      <c r="I179" s="715" t="s">
        <v>1155</v>
      </c>
      <c r="J179" s="635"/>
      <c r="K179" s="1564"/>
      <c r="L179" s="278"/>
      <c r="M179" s="405"/>
      <c r="N179" s="398"/>
      <c r="O179" s="1688"/>
      <c r="P179" s="1688"/>
      <c r="AH179" s="1695">
        <v>0</v>
      </c>
    </row>
    <row s="5468" customFormat="1" customHeight="1" ht="0.75" hidden="1">
      <c r="A180" s="1844"/>
      <c r="B180" s="1844"/>
      <c r="C180" s="433" t="s">
        <v>1163</v>
      </c>
      <c r="D180" s="2526"/>
      <c r="E180" s="2268"/>
      <c r="F180" s="2447"/>
      <c r="G180" s="464"/>
      <c r="H180" s="1564"/>
      <c r="I180" s="715"/>
      <c r="J180" s="635"/>
      <c r="K180" s="1564"/>
      <c r="L180" s="278"/>
      <c r="M180" s="405"/>
      <c r="N180" s="398"/>
      <c r="O180" s="1688"/>
      <c r="P180" s="1688"/>
      <c r="AH180" s="1695">
        <v>0</v>
      </c>
    </row>
    <row s="5468" customFormat="1" customHeight="1" ht="18.75" hidden="1">
      <c r="A181" s="1844" t="s">
        <v>234</v>
      </c>
      <c r="B181" s="1844" t="s">
        <v>235</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310</v>
      </c>
      <c r="M181" s="405"/>
      <c r="N181" s="398"/>
      <c r="O181" s="1688"/>
      <c r="P181" s="1688"/>
      <c r="AH181" s="1695">
        <v>0</v>
      </c>
    </row>
    <row s="5468" customFormat="1" customHeight="1" ht="18.75" hidden="1">
      <c r="A182" s="1844"/>
      <c r="B182" s="1844"/>
      <c r="C182" s="433" t="s">
        <v>1156</v>
      </c>
      <c r="D182" s="2526"/>
      <c r="E182" s="2268"/>
      <c r="F182" s="2447"/>
      <c r="G182" s="2491"/>
      <c r="H182" s="1564"/>
      <c r="I182" s="715" t="s">
        <v>1155</v>
      </c>
      <c r="J182" s="635"/>
      <c r="K182" s="1564"/>
      <c r="L182" s="278"/>
      <c r="M182" s="405"/>
      <c r="N182" s="398"/>
      <c r="O182" s="1688"/>
      <c r="P182" s="1688"/>
      <c r="AH182" s="1695">
        <v>0</v>
      </c>
    </row>
    <row s="5468" customFormat="1" customHeight="1" ht="0.75" hidden="1">
      <c r="A183" s="1844"/>
      <c r="B183" s="1844"/>
      <c r="C183" s="433" t="s">
        <v>1163</v>
      </c>
      <c r="D183" s="2526"/>
      <c r="E183" s="2268"/>
      <c r="F183" s="2447"/>
      <c r="G183" s="464"/>
      <c r="H183" s="1564"/>
      <c r="I183" s="715"/>
      <c r="J183" s="635"/>
      <c r="K183" s="1564"/>
      <c r="L183" s="278"/>
      <c r="M183" s="405"/>
      <c r="N183" s="398"/>
      <c r="O183" s="1688"/>
      <c r="P183" s="1688"/>
      <c r="AH183" s="1695">
        <v>0</v>
      </c>
    </row>
    <row s="5468" customFormat="1" customHeight="1" ht="18.75" hidden="1">
      <c r="A184" s="1844" t="s">
        <v>239</v>
      </c>
      <c r="B184" s="1844" t="s">
        <v>240</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310</v>
      </c>
      <c r="M184" s="405"/>
      <c r="N184" s="398"/>
      <c r="O184" s="1688"/>
      <c r="P184" s="1688"/>
      <c r="AH184" s="1695">
        <v>0</v>
      </c>
    </row>
    <row s="5468" customFormat="1" customHeight="1" ht="18.75" hidden="1">
      <c r="A185" s="1844"/>
      <c r="B185" s="1844"/>
      <c r="C185" s="433" t="s">
        <v>1156</v>
      </c>
      <c r="D185" s="2526"/>
      <c r="E185" s="2268"/>
      <c r="F185" s="2447"/>
      <c r="G185" s="2491"/>
      <c r="H185" s="1564"/>
      <c r="I185" s="715" t="s">
        <v>1155</v>
      </c>
      <c r="J185" s="635"/>
      <c r="K185" s="1564"/>
      <c r="L185" s="278"/>
      <c r="M185" s="405"/>
      <c r="N185" s="398"/>
      <c r="O185" s="1688"/>
      <c r="P185" s="1688"/>
      <c r="AH185" s="1695">
        <v>0</v>
      </c>
    </row>
    <row s="5468" customFormat="1" customHeight="1" ht="0.75" hidden="1">
      <c r="A186" s="1844"/>
      <c r="B186" s="1844"/>
      <c r="C186" s="433" t="s">
        <v>1163</v>
      </c>
      <c r="D186" s="2526"/>
      <c r="E186" s="2268"/>
      <c r="F186" s="2447"/>
      <c r="G186" s="464"/>
      <c r="H186" s="1564"/>
      <c r="I186" s="715"/>
      <c r="J186" s="635"/>
      <c r="K186" s="1564"/>
      <c r="L186" s="278"/>
      <c r="M186" s="405"/>
      <c r="N186" s="398"/>
      <c r="O186" s="1688"/>
      <c r="P186" s="1688"/>
      <c r="AH186" s="1695">
        <v>0</v>
      </c>
    </row>
    <row s="5468" customFormat="1" customHeight="1" ht="18.75" hidden="1">
      <c r="A187" s="1844" t="s">
        <v>244</v>
      </c>
      <c r="B187" s="1844" t="s">
        <v>245</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310</v>
      </c>
      <c r="M187" s="405"/>
      <c r="N187" s="398"/>
      <c r="O187" s="1688"/>
      <c r="P187" s="1688"/>
      <c r="AH187" s="1695">
        <v>0</v>
      </c>
    </row>
    <row s="5468" customFormat="1" customHeight="1" ht="18.75" hidden="1">
      <c r="A188" s="1844"/>
      <c r="B188" s="1844"/>
      <c r="C188" s="433" t="s">
        <v>1156</v>
      </c>
      <c r="D188" s="2526"/>
      <c r="E188" s="2268"/>
      <c r="F188" s="2447"/>
      <c r="G188" s="2491"/>
      <c r="H188" s="1564"/>
      <c r="I188" s="715" t="s">
        <v>1155</v>
      </c>
      <c r="J188" s="635"/>
      <c r="K188" s="1564"/>
      <c r="L188" s="278"/>
      <c r="M188" s="405"/>
      <c r="N188" s="398"/>
      <c r="O188" s="1688"/>
      <c r="P188" s="1688"/>
      <c r="AH188" s="1695">
        <v>0</v>
      </c>
    </row>
    <row s="5468" customFormat="1" customHeight="1" ht="0.75" hidden="1">
      <c r="A189" s="1844"/>
      <c r="B189" s="1844"/>
      <c r="C189" s="433" t="s">
        <v>1163</v>
      </c>
      <c r="D189" s="2526"/>
      <c r="E189" s="2268"/>
      <c r="F189" s="2447"/>
      <c r="G189" s="464"/>
      <c r="H189" s="1564"/>
      <c r="I189" s="715"/>
      <c r="J189" s="635"/>
      <c r="K189" s="1564"/>
      <c r="L189" s="278"/>
      <c r="M189" s="405"/>
      <c r="N189" s="398"/>
      <c r="O189" s="1688"/>
      <c r="P189" s="1688"/>
      <c r="AH189" s="1695">
        <v>0</v>
      </c>
    </row>
    <row s="5468" customFormat="1" customHeight="1" ht="18.75" hidden="1">
      <c r="A190" s="1844" t="s">
        <v>251</v>
      </c>
      <c r="B190" s="1844" t="s">
        <v>252</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тарифы на горячую воду (горячее водоснабжение)</v>
      </c>
      <c r="H190" s="1926"/>
      <c r="I190" s="1803"/>
      <c r="J190" s="1837"/>
      <c r="K190" s="1842"/>
      <c r="L190" s="1926" t="s">
        <v>310</v>
      </c>
      <c r="M190" s="405"/>
      <c r="N190" s="398"/>
      <c r="O190" s="1688"/>
      <c r="P190" s="1688"/>
      <c r="AH190" s="1695">
        <v>0</v>
      </c>
    </row>
    <row s="5468" customFormat="1" customHeight="1" ht="18.75" hidden="1">
      <c r="A191" s="1844"/>
      <c r="B191" s="1844"/>
      <c r="C191" s="433" t="s">
        <v>1156</v>
      </c>
      <c r="D191" s="2526"/>
      <c r="E191" s="2268"/>
      <c r="F191" s="2447"/>
      <c r="G191" s="2491"/>
      <c r="H191" s="1564"/>
      <c r="I191" s="715" t="s">
        <v>1155</v>
      </c>
      <c r="J191" s="635"/>
      <c r="K191" s="1564"/>
      <c r="L191" s="278"/>
      <c r="M191" s="405"/>
      <c r="N191" s="398"/>
      <c r="O191" s="1688"/>
      <c r="P191" s="1688"/>
      <c r="AH191" s="1695">
        <v>0</v>
      </c>
    </row>
    <row s="5468" customFormat="1" customHeight="1" ht="0.75" hidden="1">
      <c r="A192" s="1844"/>
      <c r="B192" s="1844"/>
      <c r="C192" s="433" t="s">
        <v>1163</v>
      </c>
      <c r="D192" s="2526"/>
      <c r="E192" s="2268"/>
      <c r="F192" s="2447"/>
      <c r="G192" s="464"/>
      <c r="H192" s="1564"/>
      <c r="I192" s="715"/>
      <c r="J192" s="635"/>
      <c r="K192" s="1564"/>
      <c r="L192" s="278"/>
      <c r="M192" s="405"/>
      <c r="N192" s="398"/>
      <c r="O192" s="1688"/>
      <c r="P192" s="1688"/>
      <c r="AH192" s="1695">
        <v>0</v>
      </c>
    </row>
    <row s="5468" customFormat="1" customHeight="1" ht="18.75" hidden="1">
      <c r="A193" s="1844" t="s">
        <v>259</v>
      </c>
      <c r="B193" s="1844" t="s">
        <v>260</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310</v>
      </c>
      <c r="M193" s="405"/>
      <c r="N193" s="398"/>
      <c r="O193" s="1688"/>
      <c r="P193" s="1688"/>
      <c r="AH193" s="1695">
        <v>0</v>
      </c>
    </row>
    <row s="5468" customFormat="1" customHeight="1" ht="18.75" hidden="1">
      <c r="A194" s="1844"/>
      <c r="B194" s="1844"/>
      <c r="C194" s="433" t="s">
        <v>1156</v>
      </c>
      <c r="D194" s="2526"/>
      <c r="E194" s="2268"/>
      <c r="F194" s="2447"/>
      <c r="G194" s="2491"/>
      <c r="H194" s="1564"/>
      <c r="I194" s="715" t="s">
        <v>1155</v>
      </c>
      <c r="J194" s="635"/>
      <c r="K194" s="1564"/>
      <c r="L194" s="278"/>
      <c r="M194" s="405"/>
      <c r="N194" s="398"/>
      <c r="O194" s="1688"/>
      <c r="P194" s="1688"/>
      <c r="AH194" s="1695">
        <v>0</v>
      </c>
    </row>
    <row s="5468" customFormat="1" customHeight="1" ht="0.75" hidden="1">
      <c r="A195" s="1844"/>
      <c r="B195" s="1844"/>
      <c r="C195" s="433" t="s">
        <v>1163</v>
      </c>
      <c r="D195" s="2526"/>
      <c r="E195" s="2268"/>
      <c r="F195" s="2447"/>
      <c r="G195" s="464"/>
      <c r="H195" s="1564"/>
      <c r="I195" s="715"/>
      <c r="J195" s="635"/>
      <c r="K195" s="1564"/>
      <c r="L195" s="278"/>
      <c r="M195" s="405"/>
      <c r="N195" s="398"/>
      <c r="O195" s="1688"/>
      <c r="P195" s="1688"/>
      <c r="AH195" s="1695">
        <v>0</v>
      </c>
    </row>
    <row s="5468" customFormat="1" customHeight="1" ht="18.75" hidden="1">
      <c r="A196" s="1844" t="s">
        <v>264</v>
      </c>
      <c r="B196" s="1844" t="s">
        <v>265</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310</v>
      </c>
      <c r="M196" s="405"/>
      <c r="N196" s="398"/>
      <c r="O196" s="1688"/>
      <c r="P196" s="1688"/>
      <c r="AH196" s="1695">
        <v>0</v>
      </c>
    </row>
    <row s="5468" customFormat="1" customHeight="1" ht="18.75" hidden="1">
      <c r="A197" s="1844"/>
      <c r="B197" s="1844"/>
      <c r="C197" s="433" t="s">
        <v>1156</v>
      </c>
      <c r="D197" s="2526"/>
      <c r="E197" s="2268"/>
      <c r="F197" s="2447"/>
      <c r="G197" s="2491"/>
      <c r="H197" s="1564"/>
      <c r="I197" s="715" t="s">
        <v>1155</v>
      </c>
      <c r="J197" s="635"/>
      <c r="K197" s="1564"/>
      <c r="L197" s="278"/>
      <c r="M197" s="405"/>
      <c r="N197" s="398"/>
      <c r="O197" s="1688"/>
      <c r="P197" s="1688"/>
      <c r="AH197" s="1695">
        <v>0</v>
      </c>
    </row>
    <row s="5468" customFormat="1" customHeight="1" ht="0.75" hidden="1">
      <c r="A198" s="1844"/>
      <c r="B198" s="1844"/>
      <c r="C198" s="433" t="s">
        <v>1163</v>
      </c>
      <c r="D198" s="2526"/>
      <c r="E198" s="2268"/>
      <c r="F198" s="2447"/>
      <c r="G198" s="464"/>
      <c r="H198" s="1564"/>
      <c r="I198" s="715"/>
      <c r="J198" s="635"/>
      <c r="K198" s="1564"/>
      <c r="L198" s="278"/>
      <c r="M198" s="405"/>
      <c r="N198" s="398"/>
      <c r="O198" s="1688"/>
      <c r="P198" s="1688"/>
      <c r="AH198" s="1695">
        <v>0</v>
      </c>
    </row>
    <row s="5468" customFormat="1" customHeight="1" ht="18.75" hidden="1">
      <c r="A199" s="1844" t="s">
        <v>269</v>
      </c>
      <c r="B199" s="1844" t="s">
        <v>270</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310</v>
      </c>
      <c r="M199" s="405"/>
      <c r="N199" s="398"/>
      <c r="O199" s="1688"/>
      <c r="P199" s="1688"/>
      <c r="AH199" s="1695">
        <v>0</v>
      </c>
    </row>
    <row s="5468" customFormat="1" customHeight="1" ht="18.75" hidden="1">
      <c r="A200" s="1844"/>
      <c r="B200" s="1844"/>
      <c r="C200" s="433" t="s">
        <v>1156</v>
      </c>
      <c r="D200" s="2526"/>
      <c r="E200" s="2268"/>
      <c r="F200" s="2447"/>
      <c r="G200" s="2491"/>
      <c r="H200" s="1564"/>
      <c r="I200" s="715" t="s">
        <v>1155</v>
      </c>
      <c r="J200" s="635"/>
      <c r="K200" s="1564"/>
      <c r="L200" s="278"/>
      <c r="M200" s="405"/>
      <c r="N200" s="398"/>
      <c r="O200" s="1688"/>
      <c r="P200" s="1688"/>
      <c r="AH200" s="1695">
        <v>0</v>
      </c>
    </row>
    <row s="5468" customFormat="1" customHeight="1" ht="0.75" hidden="1">
      <c r="A201" s="1844"/>
      <c r="B201" s="1844"/>
      <c r="C201" s="433" t="s">
        <v>1163</v>
      </c>
      <c r="D201" s="2526"/>
      <c r="E201" s="2268"/>
      <c r="F201" s="2447"/>
      <c r="G201" s="464"/>
      <c r="H201" s="1564"/>
      <c r="I201" s="715"/>
      <c r="J201" s="635"/>
      <c r="K201" s="1564"/>
      <c r="L201" s="278"/>
      <c r="M201" s="405"/>
      <c r="N201" s="398"/>
      <c r="O201" s="1688"/>
      <c r="P201" s="1688"/>
      <c r="AH201" s="1695">
        <v>0</v>
      </c>
    </row>
    <row s="5468" customFormat="1" customHeight="1" ht="18.75" hidden="1">
      <c r="A202" s="1844" t="s">
        <v>274</v>
      </c>
      <c r="B202" s="1844" t="s">
        <v>275</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310</v>
      </c>
      <c r="M202" s="405"/>
      <c r="N202" s="398"/>
      <c r="O202" s="1688"/>
      <c r="P202" s="1688"/>
      <c r="AH202" s="1695">
        <v>0</v>
      </c>
    </row>
    <row s="5468" customFormat="1" customHeight="1" ht="18.75" hidden="1">
      <c r="A203" s="1844"/>
      <c r="B203" s="1844"/>
      <c r="C203" s="433" t="s">
        <v>1156</v>
      </c>
      <c r="D203" s="2526"/>
      <c r="E203" s="2268"/>
      <c r="F203" s="2447"/>
      <c r="G203" s="2491"/>
      <c r="H203" s="1564"/>
      <c r="I203" s="715" t="s">
        <v>1155</v>
      </c>
      <c r="J203" s="635"/>
      <c r="K203" s="1564"/>
      <c r="L203" s="278"/>
      <c r="M203" s="405"/>
      <c r="N203" s="398"/>
      <c r="O203" s="1688"/>
      <c r="P203" s="1688"/>
      <c r="AH203" s="1695">
        <v>0</v>
      </c>
    </row>
    <row s="5468" customFormat="1" customHeight="1" ht="0.75" hidden="1">
      <c r="A204" s="1844"/>
      <c r="B204" s="1844"/>
      <c r="C204" s="433" t="s">
        <v>1163</v>
      </c>
      <c r="D204" s="2526"/>
      <c r="E204" s="2268"/>
      <c r="F204" s="2447"/>
      <c r="G204" s="464"/>
      <c r="H204" s="1564"/>
      <c r="I204" s="715"/>
      <c r="J204" s="635"/>
      <c r="K204" s="1564"/>
      <c r="L204" s="278"/>
      <c r="M204" s="405"/>
      <c r="N204" s="398"/>
      <c r="O204" s="1688"/>
      <c r="P204" s="1688"/>
      <c r="AH204" s="1695">
        <v>0</v>
      </c>
    </row>
    <row s="5468" customFormat="1" customHeight="1" ht="18.75" hidden="1">
      <c r="A205" s="1844" t="s">
        <v>279</v>
      </c>
      <c r="B205" s="1844" t="s">
        <v>280</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310</v>
      </c>
      <c r="M205" s="405"/>
      <c r="N205" s="398"/>
      <c r="O205" s="1688"/>
      <c r="P205" s="1688"/>
      <c r="AH205" s="1695">
        <v>0</v>
      </c>
    </row>
    <row s="5468" customFormat="1" customHeight="1" ht="18.75" hidden="1">
      <c r="A206" s="1844"/>
      <c r="B206" s="1844"/>
      <c r="C206" s="433" t="s">
        <v>1156</v>
      </c>
      <c r="D206" s="2526"/>
      <c r="E206" s="2268"/>
      <c r="F206" s="2447"/>
      <c r="G206" s="2491"/>
      <c r="H206" s="1564"/>
      <c r="I206" s="715" t="s">
        <v>1155</v>
      </c>
      <c r="J206" s="635"/>
      <c r="K206" s="1564"/>
      <c r="L206" s="278"/>
      <c r="M206" s="405"/>
      <c r="N206" s="398"/>
      <c r="O206" s="1688"/>
      <c r="P206" s="1688"/>
      <c r="AH206" s="1695">
        <v>0</v>
      </c>
    </row>
    <row s="5468" customFormat="1" customHeight="1" ht="1.05">
      <c r="A207" s="1844"/>
      <c r="B207" s="1844"/>
      <c r="C207" s="433" t="s">
        <v>1163</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112</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5468" customFormat="1" customHeight="1" ht="60.75" hidden="1">
      <c r="A209" s="1844" t="s">
        <v>156</v>
      </c>
      <c r="B209" s="1844" t="s">
        <v>157</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310</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8"/>
      <c r="O209" s="1688"/>
      <c r="P209" s="1688"/>
      <c r="AH209" s="1695">
        <v>0</v>
      </c>
    </row>
    <row s="5468" customFormat="1" customHeight="1" ht="18.75" hidden="1">
      <c r="A210" s="1844"/>
      <c r="B210" s="1844"/>
      <c r="C210" s="433" t="s">
        <v>1156</v>
      </c>
      <c r="D210" s="2526"/>
      <c r="E210" s="2268"/>
      <c r="F210" s="2447"/>
      <c r="G210" s="2491"/>
      <c r="H210" s="1564"/>
      <c r="I210" s="715" t="s">
        <v>1155</v>
      </c>
      <c r="J210" s="635"/>
      <c r="K210" s="1564"/>
      <c r="L210" s="278"/>
      <c r="M210" s="2234"/>
      <c r="N210" s="398"/>
      <c r="O210" s="1688"/>
      <c r="P210" s="1688"/>
      <c r="AH210" s="1695">
        <v>0</v>
      </c>
    </row>
    <row s="5468" customFormat="1" customHeight="1" ht="0.75" hidden="1">
      <c r="A211" s="1844"/>
      <c r="B211" s="1844"/>
      <c r="C211" s="433" t="s">
        <v>1163</v>
      </c>
      <c r="D211" s="2526"/>
      <c r="E211" s="2268"/>
      <c r="F211" s="2447"/>
      <c r="G211" s="464"/>
      <c r="H211" s="1564"/>
      <c r="I211" s="715"/>
      <c r="J211" s="635"/>
      <c r="K211" s="1564"/>
      <c r="L211" s="278"/>
      <c r="M211" s="2234"/>
      <c r="N211" s="398"/>
      <c r="O211" s="1688"/>
      <c r="P211" s="1688"/>
      <c r="AH211" s="1695">
        <v>0</v>
      </c>
    </row>
    <row s="5468" customFormat="1" customHeight="1" ht="45" hidden="1">
      <c r="A212" s="1844" t="s">
        <v>161</v>
      </c>
      <c r="B212" s="1844" t="s">
        <v>162</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310</v>
      </c>
      <c r="M212" s="2235"/>
      <c r="N212" s="398"/>
      <c r="O212" s="1688"/>
      <c r="P212" s="1688"/>
      <c r="AH212" s="1695">
        <v>0</v>
      </c>
    </row>
    <row s="5468" customFormat="1" customHeight="1" ht="18.75" hidden="1">
      <c r="A213" s="1844"/>
      <c r="B213" s="1844"/>
      <c r="C213" s="433" t="s">
        <v>1156</v>
      </c>
      <c r="D213" s="2526"/>
      <c r="E213" s="2268"/>
      <c r="F213" s="2447"/>
      <c r="G213" s="2491"/>
      <c r="H213" s="1564"/>
      <c r="I213" s="715" t="s">
        <v>1155</v>
      </c>
      <c r="J213" s="635"/>
      <c r="K213" s="1564"/>
      <c r="L213" s="278"/>
      <c r="M213" s="1925"/>
      <c r="N213" s="398"/>
      <c r="O213" s="1688"/>
      <c r="P213" s="1688"/>
      <c r="AH213" s="1695">
        <v>0</v>
      </c>
    </row>
    <row s="5468" customFormat="1" customHeight="1" ht="0.75" hidden="1">
      <c r="A214" s="1844"/>
      <c r="B214" s="1844"/>
      <c r="C214" s="433" t="s">
        <v>1163</v>
      </c>
      <c r="D214" s="2526"/>
      <c r="E214" s="2268"/>
      <c r="F214" s="2447"/>
      <c r="G214" s="464"/>
      <c r="H214" s="1564"/>
      <c r="I214" s="715"/>
      <c r="J214" s="635"/>
      <c r="K214" s="1564"/>
      <c r="L214" s="278"/>
      <c r="M214" s="405"/>
      <c r="N214" s="398"/>
      <c r="O214" s="1688"/>
      <c r="P214" s="1688"/>
      <c r="AH214" s="1695">
        <v>0</v>
      </c>
    </row>
    <row s="5468" customFormat="1" customHeight="1" ht="45" hidden="1">
      <c r="A215" s="1844" t="s">
        <v>168</v>
      </c>
      <c r="B215" s="1844" t="s">
        <v>169</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310</v>
      </c>
      <c r="M215" s="405"/>
      <c r="N215" s="398"/>
      <c r="O215" s="1688"/>
      <c r="P215" s="1688"/>
      <c r="AH215" s="1695">
        <v>0</v>
      </c>
    </row>
    <row s="5468" customFormat="1" customHeight="1" ht="18.75" hidden="1">
      <c r="A216" s="1844"/>
      <c r="B216" s="1844"/>
      <c r="C216" s="433" t="s">
        <v>1156</v>
      </c>
      <c r="D216" s="2526"/>
      <c r="E216" s="2268"/>
      <c r="F216" s="2447"/>
      <c r="G216" s="2491"/>
      <c r="H216" s="1564"/>
      <c r="I216" s="715" t="s">
        <v>1155</v>
      </c>
      <c r="J216" s="635"/>
      <c r="K216" s="1564"/>
      <c r="L216" s="278"/>
      <c r="M216" s="405"/>
      <c r="N216" s="398"/>
      <c r="O216" s="1688"/>
      <c r="P216" s="1688"/>
      <c r="AH216" s="1695">
        <v>0</v>
      </c>
    </row>
    <row s="5468" customFormat="1" customHeight="1" ht="0.75" hidden="1">
      <c r="A217" s="1844"/>
      <c r="B217" s="1844"/>
      <c r="C217" s="433" t="s">
        <v>1163</v>
      </c>
      <c r="D217" s="2526"/>
      <c r="E217" s="2268"/>
      <c r="F217" s="2447"/>
      <c r="G217" s="464"/>
      <c r="H217" s="1564"/>
      <c r="I217" s="715"/>
      <c r="J217" s="635"/>
      <c r="K217" s="1564"/>
      <c r="L217" s="278"/>
      <c r="M217" s="405"/>
      <c r="N217" s="398"/>
      <c r="O217" s="1688"/>
      <c r="P217" s="1688"/>
      <c r="AH217" s="1695">
        <v>0</v>
      </c>
    </row>
    <row s="5468" customFormat="1" customHeight="1" ht="45" hidden="1">
      <c r="A218" s="1844" t="s">
        <v>174</v>
      </c>
      <c r="B218" s="1844" t="s">
        <v>175</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310</v>
      </c>
      <c r="M218" s="405"/>
      <c r="N218" s="398"/>
      <c r="O218" s="1688"/>
      <c r="P218" s="1688"/>
      <c r="AH218" s="1695">
        <v>0</v>
      </c>
    </row>
    <row s="5468" customFormat="1" customHeight="1" ht="18.75" hidden="1">
      <c r="A219" s="1844"/>
      <c r="B219" s="1844"/>
      <c r="C219" s="433" t="s">
        <v>1156</v>
      </c>
      <c r="D219" s="2526"/>
      <c r="E219" s="2268"/>
      <c r="F219" s="2447"/>
      <c r="G219" s="2491"/>
      <c r="H219" s="1564"/>
      <c r="I219" s="715" t="s">
        <v>1155</v>
      </c>
      <c r="J219" s="635"/>
      <c r="K219" s="1564"/>
      <c r="L219" s="278"/>
      <c r="M219" s="405"/>
      <c r="N219" s="398"/>
      <c r="O219" s="1688"/>
      <c r="P219" s="1688"/>
      <c r="AH219" s="1695">
        <v>0</v>
      </c>
    </row>
    <row s="5468" customFormat="1" customHeight="1" ht="0.75" hidden="1">
      <c r="A220" s="1844"/>
      <c r="B220" s="1844"/>
      <c r="C220" s="433" t="s">
        <v>1163</v>
      </c>
      <c r="D220" s="2526"/>
      <c r="E220" s="2268"/>
      <c r="F220" s="2447"/>
      <c r="G220" s="464"/>
      <c r="H220" s="1564"/>
      <c r="I220" s="715"/>
      <c r="J220" s="635"/>
      <c r="K220" s="1564"/>
      <c r="L220" s="278"/>
      <c r="M220" s="405"/>
      <c r="N220" s="398"/>
      <c r="O220" s="1688"/>
      <c r="P220" s="1688"/>
      <c r="AH220" s="1695">
        <v>0</v>
      </c>
    </row>
    <row s="5468" customFormat="1" customHeight="1" ht="18.75" hidden="1">
      <c r="A221" s="1844" t="s">
        <v>180</v>
      </c>
      <c r="B221" s="1844" t="s">
        <v>181</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310</v>
      </c>
      <c r="M221" s="405"/>
      <c r="N221" s="398"/>
      <c r="O221" s="1688"/>
      <c r="P221" s="1688"/>
      <c r="AH221" s="1695">
        <v>0</v>
      </c>
    </row>
    <row s="5468" customFormat="1" customHeight="1" ht="18.75" hidden="1">
      <c r="A222" s="1844"/>
      <c r="B222" s="1844"/>
      <c r="C222" s="433" t="s">
        <v>1156</v>
      </c>
      <c r="D222" s="2526"/>
      <c r="E222" s="2268"/>
      <c r="F222" s="2447"/>
      <c r="G222" s="2491"/>
      <c r="H222" s="1564"/>
      <c r="I222" s="715" t="s">
        <v>1155</v>
      </c>
      <c r="J222" s="635"/>
      <c r="K222" s="1564"/>
      <c r="L222" s="278"/>
      <c r="M222" s="405"/>
      <c r="N222" s="398"/>
      <c r="O222" s="1688"/>
      <c r="P222" s="1688"/>
      <c r="AH222" s="1695">
        <v>0</v>
      </c>
    </row>
    <row s="5468" customFormat="1" customHeight="1" ht="0.75" hidden="1">
      <c r="A223" s="1844"/>
      <c r="B223" s="1844"/>
      <c r="C223" s="433" t="s">
        <v>1163</v>
      </c>
      <c r="D223" s="2526"/>
      <c r="E223" s="2268"/>
      <c r="F223" s="2447"/>
      <c r="G223" s="464"/>
      <c r="H223" s="1564"/>
      <c r="I223" s="715"/>
      <c r="J223" s="635"/>
      <c r="K223" s="1564"/>
      <c r="L223" s="278"/>
      <c r="M223" s="405"/>
      <c r="N223" s="398"/>
      <c r="O223" s="1688"/>
      <c r="P223" s="1688"/>
      <c r="AH223" s="1695">
        <v>0</v>
      </c>
    </row>
    <row s="5468" customFormat="1" customHeight="1" ht="18.75" hidden="1">
      <c r="A224" s="1844" t="s">
        <v>186</v>
      </c>
      <c r="B224" s="1844" t="s">
        <v>187</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310</v>
      </c>
      <c r="M224" s="405"/>
      <c r="N224" s="398"/>
      <c r="O224" s="1688"/>
      <c r="P224" s="1688"/>
      <c r="AH224" s="1695">
        <v>0</v>
      </c>
    </row>
    <row s="5468" customFormat="1" customHeight="1" ht="18.75" hidden="1">
      <c r="A225" s="1844"/>
      <c r="B225" s="1844"/>
      <c r="C225" s="433" t="s">
        <v>1156</v>
      </c>
      <c r="D225" s="2526"/>
      <c r="E225" s="2268"/>
      <c r="F225" s="2447"/>
      <c r="G225" s="2491"/>
      <c r="H225" s="1564"/>
      <c r="I225" s="715" t="s">
        <v>1155</v>
      </c>
      <c r="J225" s="635"/>
      <c r="K225" s="1564"/>
      <c r="L225" s="278"/>
      <c r="M225" s="405"/>
      <c r="N225" s="398"/>
      <c r="O225" s="1688"/>
      <c r="P225" s="1688"/>
      <c r="AH225" s="1695">
        <v>0</v>
      </c>
    </row>
    <row s="5468" customFormat="1" customHeight="1" ht="0.75" hidden="1">
      <c r="A226" s="1844"/>
      <c r="B226" s="1844"/>
      <c r="C226" s="433" t="s">
        <v>1163</v>
      </c>
      <c r="D226" s="2526"/>
      <c r="E226" s="2268"/>
      <c r="F226" s="2447"/>
      <c r="G226" s="464"/>
      <c r="H226" s="1564"/>
      <c r="I226" s="715"/>
      <c r="J226" s="635"/>
      <c r="K226" s="1564"/>
      <c r="L226" s="278"/>
      <c r="M226" s="405"/>
      <c r="N226" s="398"/>
      <c r="O226" s="1688"/>
      <c r="P226" s="1688"/>
      <c r="AH226" s="1695">
        <v>0</v>
      </c>
    </row>
    <row s="5468" customFormat="1" customHeight="1" ht="18.75" hidden="1">
      <c r="A227" s="1844" t="s">
        <v>192</v>
      </c>
      <c r="B227" s="1844" t="s">
        <v>193</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310</v>
      </c>
      <c r="M227" s="405"/>
      <c r="N227" s="398"/>
      <c r="O227" s="1688"/>
      <c r="P227" s="1688"/>
      <c r="AH227" s="1695">
        <v>0</v>
      </c>
    </row>
    <row s="5468" customFormat="1" customHeight="1" ht="18.75" hidden="1">
      <c r="A228" s="1844"/>
      <c r="B228" s="1844"/>
      <c r="C228" s="433" t="s">
        <v>1156</v>
      </c>
      <c r="D228" s="2526"/>
      <c r="E228" s="2268"/>
      <c r="F228" s="2447"/>
      <c r="G228" s="2491"/>
      <c r="H228" s="1564"/>
      <c r="I228" s="715" t="s">
        <v>1155</v>
      </c>
      <c r="J228" s="635"/>
      <c r="K228" s="1564"/>
      <c r="L228" s="278"/>
      <c r="M228" s="405"/>
      <c r="N228" s="398"/>
      <c r="O228" s="1688"/>
      <c r="P228" s="1688"/>
      <c r="AH228" s="1695">
        <v>0</v>
      </c>
    </row>
    <row s="5468" customFormat="1" customHeight="1" ht="0.75" hidden="1">
      <c r="A229" s="1844"/>
      <c r="B229" s="1844"/>
      <c r="C229" s="433" t="s">
        <v>1163</v>
      </c>
      <c r="D229" s="2526"/>
      <c r="E229" s="2268"/>
      <c r="F229" s="2447"/>
      <c r="G229" s="464"/>
      <c r="H229" s="1564"/>
      <c r="I229" s="715"/>
      <c r="J229" s="635"/>
      <c r="K229" s="1564"/>
      <c r="L229" s="278"/>
      <c r="M229" s="405"/>
      <c r="N229" s="398"/>
      <c r="O229" s="1688"/>
      <c r="P229" s="1688"/>
      <c r="AH229" s="1695">
        <v>0</v>
      </c>
    </row>
    <row s="5468" customFormat="1" customHeight="1" ht="18.75" hidden="1">
      <c r="A230" s="1844" t="s">
        <v>198</v>
      </c>
      <c r="B230" s="1844" t="s">
        <v>199</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310</v>
      </c>
      <c r="M230" s="405"/>
      <c r="N230" s="398"/>
      <c r="O230" s="1688"/>
      <c r="P230" s="1688"/>
      <c r="AH230" s="1695">
        <v>0</v>
      </c>
    </row>
    <row s="5468" customFormat="1" customHeight="1" ht="18.75" hidden="1">
      <c r="A231" s="1844"/>
      <c r="B231" s="1844"/>
      <c r="C231" s="433" t="s">
        <v>1156</v>
      </c>
      <c r="D231" s="2526"/>
      <c r="E231" s="2268"/>
      <c r="F231" s="2447"/>
      <c r="G231" s="2491"/>
      <c r="H231" s="1564"/>
      <c r="I231" s="715" t="s">
        <v>1155</v>
      </c>
      <c r="J231" s="635"/>
      <c r="K231" s="1564"/>
      <c r="L231" s="278"/>
      <c r="M231" s="405"/>
      <c r="N231" s="398"/>
      <c r="O231" s="1688"/>
      <c r="P231" s="1688"/>
      <c r="AH231" s="1695">
        <v>0</v>
      </c>
    </row>
    <row s="5468" customFormat="1" customHeight="1" ht="0.75" hidden="1">
      <c r="A232" s="1844"/>
      <c r="B232" s="1844"/>
      <c r="C232" s="433" t="s">
        <v>1163</v>
      </c>
      <c r="D232" s="2526"/>
      <c r="E232" s="2268"/>
      <c r="F232" s="2447"/>
      <c r="G232" s="464"/>
      <c r="H232" s="1564"/>
      <c r="I232" s="715"/>
      <c r="J232" s="635"/>
      <c r="K232" s="1564"/>
      <c r="L232" s="278"/>
      <c r="M232" s="405"/>
      <c r="N232" s="398"/>
      <c r="O232" s="1688"/>
      <c r="P232" s="1688"/>
      <c r="AH232" s="1695">
        <v>0</v>
      </c>
    </row>
    <row s="5468" customFormat="1" customHeight="1" ht="18.75" hidden="1">
      <c r="A233" s="1844" t="s">
        <v>204</v>
      </c>
      <c r="B233" s="1844" t="s">
        <v>205</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310</v>
      </c>
      <c r="M233" s="405"/>
      <c r="N233" s="398"/>
      <c r="O233" s="1688"/>
      <c r="P233" s="1688"/>
      <c r="AH233" s="1695">
        <v>0</v>
      </c>
    </row>
    <row s="5468" customFormat="1" customHeight="1" ht="18.75" hidden="1">
      <c r="A234" s="1844"/>
      <c r="B234" s="1844"/>
      <c r="C234" s="433" t="s">
        <v>1156</v>
      </c>
      <c r="D234" s="2526"/>
      <c r="E234" s="2268"/>
      <c r="F234" s="2447"/>
      <c r="G234" s="2491"/>
      <c r="H234" s="1564"/>
      <c r="I234" s="715" t="s">
        <v>1155</v>
      </c>
      <c r="J234" s="635"/>
      <c r="K234" s="1564"/>
      <c r="L234" s="278"/>
      <c r="M234" s="405"/>
      <c r="N234" s="398"/>
      <c r="O234" s="1688"/>
      <c r="P234" s="1688"/>
      <c r="AH234" s="1695">
        <v>0</v>
      </c>
    </row>
    <row s="5468" customFormat="1" customHeight="1" ht="0.75" hidden="1">
      <c r="A235" s="1844"/>
      <c r="B235" s="1844"/>
      <c r="C235" s="433" t="s">
        <v>1163</v>
      </c>
      <c r="D235" s="2526"/>
      <c r="E235" s="2268"/>
      <c r="F235" s="2447"/>
      <c r="G235" s="464"/>
      <c r="H235" s="1564"/>
      <c r="I235" s="715"/>
      <c r="J235" s="635"/>
      <c r="K235" s="1564"/>
      <c r="L235" s="278"/>
      <c r="M235" s="405"/>
      <c r="N235" s="398"/>
      <c r="O235" s="1688"/>
      <c r="P235" s="1688"/>
      <c r="AH235" s="1695">
        <v>0</v>
      </c>
    </row>
    <row s="5468" customFormat="1" customHeight="1" ht="18.75" hidden="1">
      <c r="A236" s="1844" t="s">
        <v>224</v>
      </c>
      <c r="B236" s="1844" t="s">
        <v>225</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310</v>
      </c>
      <c r="M236" s="405"/>
      <c r="N236" s="398"/>
      <c r="O236" s="1688"/>
      <c r="P236" s="1688"/>
      <c r="AH236" s="1695">
        <v>0</v>
      </c>
    </row>
    <row s="5468" customFormat="1" customHeight="1" ht="18.75" hidden="1">
      <c r="A237" s="1844"/>
      <c r="B237" s="1844"/>
      <c r="C237" s="433" t="s">
        <v>1156</v>
      </c>
      <c r="D237" s="2526"/>
      <c r="E237" s="2268"/>
      <c r="F237" s="2447"/>
      <c r="G237" s="2491"/>
      <c r="H237" s="1564"/>
      <c r="I237" s="715" t="s">
        <v>1155</v>
      </c>
      <c r="J237" s="635"/>
      <c r="K237" s="1564"/>
      <c r="L237" s="278"/>
      <c r="M237" s="405"/>
      <c r="N237" s="398"/>
      <c r="O237" s="1688"/>
      <c r="P237" s="1688"/>
      <c r="AH237" s="1695">
        <v>0</v>
      </c>
    </row>
    <row s="5468" customFormat="1" customHeight="1" ht="0.75" hidden="1">
      <c r="A238" s="1844"/>
      <c r="B238" s="1844"/>
      <c r="C238" s="433" t="s">
        <v>1163</v>
      </c>
      <c r="D238" s="2526"/>
      <c r="E238" s="2268"/>
      <c r="F238" s="2447"/>
      <c r="G238" s="464"/>
      <c r="H238" s="1564"/>
      <c r="I238" s="715"/>
      <c r="J238" s="635"/>
      <c r="K238" s="1564"/>
      <c r="L238" s="278"/>
      <c r="M238" s="405"/>
      <c r="N238" s="398"/>
      <c r="O238" s="1688"/>
      <c r="P238" s="1688"/>
      <c r="AH238" s="1695">
        <v>0</v>
      </c>
    </row>
    <row s="5468" customFormat="1" customHeight="1" ht="18.75" hidden="1">
      <c r="A239" s="1844" t="s">
        <v>229</v>
      </c>
      <c r="B239" s="1844" t="s">
        <v>230</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310</v>
      </c>
      <c r="M239" s="405"/>
      <c r="N239" s="398"/>
      <c r="O239" s="1688"/>
      <c r="P239" s="1688"/>
      <c r="AH239" s="1695">
        <v>0</v>
      </c>
    </row>
    <row s="5468" customFormat="1" customHeight="1" ht="18.75" hidden="1">
      <c r="A240" s="1844"/>
      <c r="B240" s="1844"/>
      <c r="C240" s="433" t="s">
        <v>1156</v>
      </c>
      <c r="D240" s="2526"/>
      <c r="E240" s="2268"/>
      <c r="F240" s="2447"/>
      <c r="G240" s="2491"/>
      <c r="H240" s="1564"/>
      <c r="I240" s="715" t="s">
        <v>1155</v>
      </c>
      <c r="J240" s="635"/>
      <c r="K240" s="1564"/>
      <c r="L240" s="278"/>
      <c r="M240" s="405"/>
      <c r="N240" s="398"/>
      <c r="O240" s="1688"/>
      <c r="P240" s="1688"/>
      <c r="AH240" s="1695">
        <v>0</v>
      </c>
    </row>
    <row s="5468" customFormat="1" customHeight="1" ht="0.75" hidden="1">
      <c r="A241" s="1844"/>
      <c r="B241" s="1844"/>
      <c r="C241" s="433" t="s">
        <v>1163</v>
      </c>
      <c r="D241" s="2526"/>
      <c r="E241" s="2268"/>
      <c r="F241" s="2447"/>
      <c r="G241" s="464"/>
      <c r="H241" s="1564"/>
      <c r="I241" s="715"/>
      <c r="J241" s="635"/>
      <c r="K241" s="1564"/>
      <c r="L241" s="278"/>
      <c r="M241" s="405"/>
      <c r="N241" s="398"/>
      <c r="O241" s="1688"/>
      <c r="P241" s="1688"/>
      <c r="AH241" s="1695">
        <v>0</v>
      </c>
    </row>
    <row s="5468" customFormat="1" customHeight="1" ht="18.75" hidden="1">
      <c r="A242" s="1844" t="s">
        <v>234</v>
      </c>
      <c r="B242" s="1844" t="s">
        <v>235</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310</v>
      </c>
      <c r="M242" s="405"/>
      <c r="N242" s="398"/>
      <c r="O242" s="1688"/>
      <c r="P242" s="1688"/>
      <c r="AH242" s="1695">
        <v>0</v>
      </c>
    </row>
    <row s="5468" customFormat="1" customHeight="1" ht="18.75" hidden="1">
      <c r="A243" s="1844"/>
      <c r="B243" s="1844"/>
      <c r="C243" s="433" t="s">
        <v>1156</v>
      </c>
      <c r="D243" s="2526"/>
      <c r="E243" s="2268"/>
      <c r="F243" s="2447"/>
      <c r="G243" s="2491"/>
      <c r="H243" s="1564"/>
      <c r="I243" s="715" t="s">
        <v>1155</v>
      </c>
      <c r="J243" s="635"/>
      <c r="K243" s="1564"/>
      <c r="L243" s="278"/>
      <c r="M243" s="405"/>
      <c r="N243" s="398"/>
      <c r="O243" s="1688"/>
      <c r="P243" s="1688"/>
      <c r="AH243" s="1695">
        <v>0</v>
      </c>
    </row>
    <row s="5468" customFormat="1" customHeight="1" ht="0.75" hidden="1">
      <c r="A244" s="1844"/>
      <c r="B244" s="1844"/>
      <c r="C244" s="433" t="s">
        <v>1163</v>
      </c>
      <c r="D244" s="2526"/>
      <c r="E244" s="2268"/>
      <c r="F244" s="2447"/>
      <c r="G244" s="464"/>
      <c r="H244" s="1564"/>
      <c r="I244" s="715"/>
      <c r="J244" s="635"/>
      <c r="K244" s="1564"/>
      <c r="L244" s="278"/>
      <c r="M244" s="405"/>
      <c r="N244" s="398"/>
      <c r="O244" s="1688"/>
      <c r="P244" s="1688"/>
      <c r="AH244" s="1695">
        <v>0</v>
      </c>
    </row>
    <row s="5468" customFormat="1" customHeight="1" ht="18.75" hidden="1">
      <c r="A245" s="1844" t="s">
        <v>239</v>
      </c>
      <c r="B245" s="1844" t="s">
        <v>240</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310</v>
      </c>
      <c r="M245" s="405"/>
      <c r="N245" s="398"/>
      <c r="O245" s="1688"/>
      <c r="P245" s="1688"/>
      <c r="AH245" s="1695">
        <v>0</v>
      </c>
    </row>
    <row s="5468" customFormat="1" customHeight="1" ht="18.75" hidden="1">
      <c r="A246" s="1844"/>
      <c r="B246" s="1844"/>
      <c r="C246" s="433" t="s">
        <v>1156</v>
      </c>
      <c r="D246" s="2526"/>
      <c r="E246" s="2268"/>
      <c r="F246" s="2447"/>
      <c r="G246" s="2491"/>
      <c r="H246" s="1564"/>
      <c r="I246" s="715" t="s">
        <v>1155</v>
      </c>
      <c r="J246" s="635"/>
      <c r="K246" s="1564"/>
      <c r="L246" s="278"/>
      <c r="M246" s="405"/>
      <c r="N246" s="398"/>
      <c r="O246" s="1688"/>
      <c r="P246" s="1688"/>
      <c r="AH246" s="1695">
        <v>0</v>
      </c>
    </row>
    <row s="5468" customFormat="1" customHeight="1" ht="0.75" hidden="1">
      <c r="A247" s="1844"/>
      <c r="B247" s="1844"/>
      <c r="C247" s="433" t="s">
        <v>1163</v>
      </c>
      <c r="D247" s="2526"/>
      <c r="E247" s="2268"/>
      <c r="F247" s="2447"/>
      <c r="G247" s="464"/>
      <c r="H247" s="1564"/>
      <c r="I247" s="715"/>
      <c r="J247" s="635"/>
      <c r="K247" s="1564"/>
      <c r="L247" s="278"/>
      <c r="M247" s="405"/>
      <c r="N247" s="398"/>
      <c r="O247" s="1688"/>
      <c r="P247" s="1688"/>
      <c r="AH247" s="1695">
        <v>0</v>
      </c>
    </row>
    <row s="5468" customFormat="1" customHeight="1" ht="18.75" hidden="1">
      <c r="A248" s="1844" t="s">
        <v>244</v>
      </c>
      <c r="B248" s="1844" t="s">
        <v>245</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310</v>
      </c>
      <c r="M248" s="405"/>
      <c r="N248" s="398"/>
      <c r="O248" s="1688"/>
      <c r="P248" s="1688"/>
      <c r="AH248" s="1695">
        <v>0</v>
      </c>
    </row>
    <row s="5468" customFormat="1" customHeight="1" ht="18.75" hidden="1">
      <c r="A249" s="1844"/>
      <c r="B249" s="1844"/>
      <c r="C249" s="433" t="s">
        <v>1156</v>
      </c>
      <c r="D249" s="2526"/>
      <c r="E249" s="2268"/>
      <c r="F249" s="2447"/>
      <c r="G249" s="2491"/>
      <c r="H249" s="1564"/>
      <c r="I249" s="715" t="s">
        <v>1155</v>
      </c>
      <c r="J249" s="635"/>
      <c r="K249" s="1564"/>
      <c r="L249" s="278"/>
      <c r="M249" s="405"/>
      <c r="N249" s="398"/>
      <c r="O249" s="1688"/>
      <c r="P249" s="1688"/>
      <c r="AH249" s="1695">
        <v>0</v>
      </c>
    </row>
    <row s="5468" customFormat="1" customHeight="1" ht="0.75" hidden="1">
      <c r="A250" s="1844"/>
      <c r="B250" s="1844"/>
      <c r="C250" s="433" t="s">
        <v>1163</v>
      </c>
      <c r="D250" s="2526"/>
      <c r="E250" s="2268"/>
      <c r="F250" s="2447"/>
      <c r="G250" s="464"/>
      <c r="H250" s="1564"/>
      <c r="I250" s="715"/>
      <c r="J250" s="635"/>
      <c r="K250" s="1564"/>
      <c r="L250" s="278"/>
      <c r="M250" s="405"/>
      <c r="N250" s="398"/>
      <c r="O250" s="1688"/>
      <c r="P250" s="1688"/>
      <c r="AH250" s="1695">
        <v>0</v>
      </c>
    </row>
    <row s="5468" customFormat="1" customHeight="1" ht="18.75" hidden="1">
      <c r="A251" s="1844" t="s">
        <v>251</v>
      </c>
      <c r="B251" s="1844" t="s">
        <v>252</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тарифы на горячую воду (горячее водоснабжение)</v>
      </c>
      <c r="H251" s="1926"/>
      <c r="I251" s="1803"/>
      <c r="J251" s="1837"/>
      <c r="K251" s="1842"/>
      <c r="L251" s="1926" t="s">
        <v>310</v>
      </c>
      <c r="M251" s="405"/>
      <c r="N251" s="398"/>
      <c r="O251" s="1688"/>
      <c r="P251" s="1688"/>
      <c r="AH251" s="1695">
        <v>0</v>
      </c>
    </row>
    <row s="5468" customFormat="1" customHeight="1" ht="18.75" hidden="1">
      <c r="A252" s="1844"/>
      <c r="B252" s="1844"/>
      <c r="C252" s="433" t="s">
        <v>1156</v>
      </c>
      <c r="D252" s="2526"/>
      <c r="E252" s="2268"/>
      <c r="F252" s="2447"/>
      <c r="G252" s="2491"/>
      <c r="H252" s="1564"/>
      <c r="I252" s="715" t="s">
        <v>1155</v>
      </c>
      <c r="J252" s="635"/>
      <c r="K252" s="1564"/>
      <c r="L252" s="278"/>
      <c r="M252" s="405"/>
      <c r="N252" s="398"/>
      <c r="O252" s="1688"/>
      <c r="P252" s="1688"/>
      <c r="AH252" s="1695">
        <v>0</v>
      </c>
    </row>
    <row s="5468" customFormat="1" customHeight="1" ht="0.75" hidden="1">
      <c r="A253" s="1844"/>
      <c r="B253" s="1844"/>
      <c r="C253" s="433" t="s">
        <v>1163</v>
      </c>
      <c r="D253" s="2526"/>
      <c r="E253" s="2268"/>
      <c r="F253" s="2447"/>
      <c r="G253" s="464"/>
      <c r="H253" s="1564"/>
      <c r="I253" s="715"/>
      <c r="J253" s="635"/>
      <c r="K253" s="1564"/>
      <c r="L253" s="278"/>
      <c r="M253" s="405"/>
      <c r="N253" s="398"/>
      <c r="O253" s="1688"/>
      <c r="P253" s="1688"/>
      <c r="AH253" s="1695">
        <v>0</v>
      </c>
    </row>
    <row s="5468" customFormat="1" customHeight="1" ht="18.75" hidden="1">
      <c r="A254" s="1844" t="s">
        <v>259</v>
      </c>
      <c r="B254" s="1844" t="s">
        <v>260</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310</v>
      </c>
      <c r="M254" s="405"/>
      <c r="N254" s="398"/>
      <c r="O254" s="1688"/>
      <c r="P254" s="1688"/>
      <c r="AH254" s="1695">
        <v>0</v>
      </c>
    </row>
    <row s="5468" customFormat="1" customHeight="1" ht="18.75" hidden="1">
      <c r="A255" s="1844"/>
      <c r="B255" s="1844"/>
      <c r="C255" s="433" t="s">
        <v>1156</v>
      </c>
      <c r="D255" s="2526"/>
      <c r="E255" s="2268"/>
      <c r="F255" s="2447"/>
      <c r="G255" s="2491"/>
      <c r="H255" s="1564"/>
      <c r="I255" s="715" t="s">
        <v>1155</v>
      </c>
      <c r="J255" s="635"/>
      <c r="K255" s="1564"/>
      <c r="L255" s="278"/>
      <c r="M255" s="405"/>
      <c r="N255" s="398"/>
      <c r="O255" s="1688"/>
      <c r="P255" s="1688"/>
      <c r="AH255" s="1695">
        <v>0</v>
      </c>
    </row>
    <row s="5468" customFormat="1" customHeight="1" ht="0.75" hidden="1">
      <c r="A256" s="1844"/>
      <c r="B256" s="1844"/>
      <c r="C256" s="433" t="s">
        <v>1163</v>
      </c>
      <c r="D256" s="2526"/>
      <c r="E256" s="2268"/>
      <c r="F256" s="2447"/>
      <c r="G256" s="464"/>
      <c r="H256" s="1564"/>
      <c r="I256" s="715"/>
      <c r="J256" s="635"/>
      <c r="K256" s="1564"/>
      <c r="L256" s="278"/>
      <c r="M256" s="405"/>
      <c r="N256" s="398"/>
      <c r="O256" s="1688"/>
      <c r="P256" s="1688"/>
      <c r="AH256" s="1695">
        <v>0</v>
      </c>
    </row>
    <row s="5468" customFormat="1" customHeight="1" ht="18.75" hidden="1">
      <c r="A257" s="1844" t="s">
        <v>264</v>
      </c>
      <c r="B257" s="1844" t="s">
        <v>265</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310</v>
      </c>
      <c r="M257" s="405"/>
      <c r="N257" s="398"/>
      <c r="O257" s="1688"/>
      <c r="P257" s="1688"/>
      <c r="AH257" s="1695">
        <v>0</v>
      </c>
    </row>
    <row s="5468" customFormat="1" customHeight="1" ht="18.75" hidden="1">
      <c r="A258" s="1844"/>
      <c r="B258" s="1844"/>
      <c r="C258" s="433" t="s">
        <v>1156</v>
      </c>
      <c r="D258" s="2526"/>
      <c r="E258" s="2268"/>
      <c r="F258" s="2447"/>
      <c r="G258" s="2491"/>
      <c r="H258" s="1564"/>
      <c r="I258" s="715" t="s">
        <v>1155</v>
      </c>
      <c r="J258" s="635"/>
      <c r="K258" s="1564"/>
      <c r="L258" s="278"/>
      <c r="M258" s="405"/>
      <c r="N258" s="398"/>
      <c r="O258" s="1688"/>
      <c r="P258" s="1688"/>
      <c r="AH258" s="1695">
        <v>0</v>
      </c>
    </row>
    <row s="5468" customFormat="1" customHeight="1" ht="0.75" hidden="1">
      <c r="A259" s="1844"/>
      <c r="B259" s="1844"/>
      <c r="C259" s="433" t="s">
        <v>1163</v>
      </c>
      <c r="D259" s="2526"/>
      <c r="E259" s="2268"/>
      <c r="F259" s="2447"/>
      <c r="G259" s="464"/>
      <c r="H259" s="1564"/>
      <c r="I259" s="715"/>
      <c r="J259" s="635"/>
      <c r="K259" s="1564"/>
      <c r="L259" s="278"/>
      <c r="M259" s="405"/>
      <c r="N259" s="398"/>
      <c r="O259" s="1688"/>
      <c r="P259" s="1688"/>
      <c r="AH259" s="1695">
        <v>0</v>
      </c>
    </row>
    <row s="5468" customFormat="1" customHeight="1" ht="18.75" hidden="1">
      <c r="A260" s="1844" t="s">
        <v>269</v>
      </c>
      <c r="B260" s="1844" t="s">
        <v>270</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310</v>
      </c>
      <c r="M260" s="405"/>
      <c r="N260" s="398"/>
      <c r="O260" s="1688"/>
      <c r="P260" s="1688"/>
      <c r="AH260" s="1695">
        <v>0</v>
      </c>
    </row>
    <row s="5468" customFormat="1" customHeight="1" ht="18.75" hidden="1">
      <c r="A261" s="1844"/>
      <c r="B261" s="1844"/>
      <c r="C261" s="433" t="s">
        <v>1156</v>
      </c>
      <c r="D261" s="2526"/>
      <c r="E261" s="2268"/>
      <c r="F261" s="2447"/>
      <c r="G261" s="2491"/>
      <c r="H261" s="1564"/>
      <c r="I261" s="715" t="s">
        <v>1155</v>
      </c>
      <c r="J261" s="635"/>
      <c r="K261" s="1564"/>
      <c r="L261" s="278"/>
      <c r="M261" s="405"/>
      <c r="N261" s="398"/>
      <c r="O261" s="1688"/>
      <c r="P261" s="1688"/>
      <c r="AH261" s="1695">
        <v>0</v>
      </c>
    </row>
    <row s="5468" customFormat="1" customHeight="1" ht="0.75" hidden="1">
      <c r="A262" s="1844"/>
      <c r="B262" s="1844"/>
      <c r="C262" s="433" t="s">
        <v>1163</v>
      </c>
      <c r="D262" s="2526"/>
      <c r="E262" s="2268"/>
      <c r="F262" s="2447"/>
      <c r="G262" s="464"/>
      <c r="H262" s="1564"/>
      <c r="I262" s="715"/>
      <c r="J262" s="635"/>
      <c r="K262" s="1564"/>
      <c r="L262" s="278"/>
      <c r="M262" s="405"/>
      <c r="N262" s="398"/>
      <c r="O262" s="1688"/>
      <c r="P262" s="1688"/>
      <c r="AH262" s="1695">
        <v>0</v>
      </c>
    </row>
    <row s="5468" customFormat="1" customHeight="1" ht="18.75" hidden="1">
      <c r="A263" s="1844" t="s">
        <v>274</v>
      </c>
      <c r="B263" s="1844" t="s">
        <v>275</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310</v>
      </c>
      <c r="M263" s="405"/>
      <c r="N263" s="398"/>
      <c r="O263" s="1688"/>
      <c r="P263" s="1688"/>
      <c r="AH263" s="1695">
        <v>0</v>
      </c>
    </row>
    <row s="5468" customFormat="1" customHeight="1" ht="18.75" hidden="1">
      <c r="A264" s="1844"/>
      <c r="B264" s="1844"/>
      <c r="C264" s="433" t="s">
        <v>1156</v>
      </c>
      <c r="D264" s="2526"/>
      <c r="E264" s="2268"/>
      <c r="F264" s="2447"/>
      <c r="G264" s="2491"/>
      <c r="H264" s="1564"/>
      <c r="I264" s="715" t="s">
        <v>1155</v>
      </c>
      <c r="J264" s="635"/>
      <c r="K264" s="1564"/>
      <c r="L264" s="278"/>
      <c r="M264" s="405"/>
      <c r="N264" s="398"/>
      <c r="O264" s="1688"/>
      <c r="P264" s="1688"/>
      <c r="AH264" s="1695">
        <v>0</v>
      </c>
    </row>
    <row s="5468" customFormat="1" customHeight="1" ht="0.75" hidden="1">
      <c r="A265" s="1844"/>
      <c r="B265" s="1844"/>
      <c r="C265" s="433" t="s">
        <v>1163</v>
      </c>
      <c r="D265" s="2526"/>
      <c r="E265" s="2268"/>
      <c r="F265" s="2447"/>
      <c r="G265" s="464"/>
      <c r="H265" s="1564"/>
      <c r="I265" s="715"/>
      <c r="J265" s="635"/>
      <c r="K265" s="1564"/>
      <c r="L265" s="278"/>
      <c r="M265" s="405"/>
      <c r="N265" s="398"/>
      <c r="O265" s="1688"/>
      <c r="P265" s="1688"/>
      <c r="AH265" s="1695">
        <v>0</v>
      </c>
    </row>
    <row s="5468" customFormat="1" customHeight="1" ht="18.75" hidden="1">
      <c r="A266" s="1844" t="s">
        <v>279</v>
      </c>
      <c r="B266" s="1844" t="s">
        <v>280</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310</v>
      </c>
      <c r="M266" s="405"/>
      <c r="N266" s="398"/>
      <c r="O266" s="1688"/>
      <c r="P266" s="1688"/>
      <c r="AH266" s="1695">
        <v>0</v>
      </c>
    </row>
    <row s="5468" customFormat="1" customHeight="1" ht="18.75" hidden="1">
      <c r="A267" s="1844"/>
      <c r="B267" s="1844"/>
      <c r="C267" s="433" t="s">
        <v>1156</v>
      </c>
      <c r="D267" s="2526"/>
      <c r="E267" s="2268"/>
      <c r="F267" s="2447"/>
      <c r="G267" s="2491"/>
      <c r="H267" s="1564"/>
      <c r="I267" s="715" t="s">
        <v>1155</v>
      </c>
      <c r="J267" s="635"/>
      <c r="K267" s="1564"/>
      <c r="L267" s="278"/>
      <c r="M267" s="405"/>
      <c r="N267" s="398"/>
      <c r="O267" s="1688"/>
      <c r="P267" s="1688"/>
      <c r="AH267" s="1695">
        <v>0</v>
      </c>
    </row>
    <row s="5468" customFormat="1" customHeight="1" ht="1.05">
      <c r="A268" s="1844"/>
      <c r="B268" s="1844"/>
      <c r="C268" s="433" t="s">
        <v>1163</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93</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5468" customFormat="1" customHeight="1" ht="60.75" hidden="1">
      <c r="A270" s="1844" t="s">
        <v>156</v>
      </c>
      <c r="B270" s="1844" t="s">
        <v>157</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310</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5468" customFormat="1" customHeight="1" ht="18.75" hidden="1">
      <c r="A271" s="1844"/>
      <c r="B271" s="1844"/>
      <c r="C271" s="433" t="s">
        <v>1156</v>
      </c>
      <c r="D271" s="2526"/>
      <c r="E271" s="2268"/>
      <c r="F271" s="2447"/>
      <c r="G271" s="2491"/>
      <c r="H271" s="1564"/>
      <c r="I271" s="715" t="s">
        <v>1155</v>
      </c>
      <c r="J271" s="635"/>
      <c r="K271" s="1564"/>
      <c r="L271" s="278"/>
      <c r="M271" s="2234"/>
      <c r="N271" s="398"/>
      <c r="O271" s="1688"/>
      <c r="P271" s="1688"/>
      <c r="AH271" s="1695">
        <v>0</v>
      </c>
    </row>
    <row s="5468" customFormat="1" customHeight="1" ht="0.75" hidden="1">
      <c r="A272" s="1844"/>
      <c r="B272" s="1844"/>
      <c r="C272" s="433" t="s">
        <v>1163</v>
      </c>
      <c r="D272" s="2526"/>
      <c r="E272" s="2268"/>
      <c r="F272" s="2447"/>
      <c r="G272" s="464"/>
      <c r="H272" s="1564"/>
      <c r="I272" s="715"/>
      <c r="J272" s="635"/>
      <c r="K272" s="1564"/>
      <c r="L272" s="278"/>
      <c r="M272" s="2234"/>
      <c r="N272" s="398"/>
      <c r="O272" s="1688"/>
      <c r="P272" s="1688"/>
      <c r="AH272" s="1695">
        <v>0</v>
      </c>
    </row>
    <row s="5468" customFormat="1" customHeight="1" ht="45" hidden="1">
      <c r="A273" s="1844" t="s">
        <v>161</v>
      </c>
      <c r="B273" s="1844" t="s">
        <v>162</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310</v>
      </c>
      <c r="M273" s="2235"/>
      <c r="N273" s="398"/>
      <c r="O273" s="1688"/>
      <c r="P273" s="1688"/>
      <c r="AH273" s="1695">
        <v>0</v>
      </c>
    </row>
    <row s="5468" customFormat="1" customHeight="1" ht="18.75" hidden="1">
      <c r="A274" s="1844"/>
      <c r="B274" s="1844"/>
      <c r="C274" s="433" t="s">
        <v>1156</v>
      </c>
      <c r="D274" s="2526"/>
      <c r="E274" s="2268"/>
      <c r="F274" s="2447"/>
      <c r="G274" s="2491"/>
      <c r="H274" s="1564"/>
      <c r="I274" s="715" t="s">
        <v>1155</v>
      </c>
      <c r="J274" s="635"/>
      <c r="K274" s="1564"/>
      <c r="L274" s="278"/>
      <c r="M274" s="1925"/>
      <c r="N274" s="398"/>
      <c r="O274" s="1688"/>
      <c r="P274" s="1688"/>
      <c r="AH274" s="1695">
        <v>0</v>
      </c>
    </row>
    <row s="5468" customFormat="1" customHeight="1" ht="0.75" hidden="1">
      <c r="A275" s="1844"/>
      <c r="B275" s="1844"/>
      <c r="C275" s="433" t="s">
        <v>1163</v>
      </c>
      <c r="D275" s="2526"/>
      <c r="E275" s="2268"/>
      <c r="F275" s="2447"/>
      <c r="G275" s="464"/>
      <c r="H275" s="1564"/>
      <c r="I275" s="715"/>
      <c r="J275" s="635"/>
      <c r="K275" s="1564"/>
      <c r="L275" s="278"/>
      <c r="M275" s="405"/>
      <c r="N275" s="398"/>
      <c r="O275" s="1688"/>
      <c r="P275" s="1688"/>
      <c r="AH275" s="1695">
        <v>0</v>
      </c>
    </row>
    <row s="5468" customFormat="1" customHeight="1" ht="45" hidden="1">
      <c r="A276" s="1844" t="s">
        <v>168</v>
      </c>
      <c r="B276" s="1844" t="s">
        <v>169</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310</v>
      </c>
      <c r="M276" s="405"/>
      <c r="N276" s="398"/>
      <c r="O276" s="1688"/>
      <c r="P276" s="1688"/>
      <c r="AH276" s="1695">
        <v>0</v>
      </c>
    </row>
    <row s="5468" customFormat="1" customHeight="1" ht="18.75" hidden="1">
      <c r="A277" s="1844"/>
      <c r="B277" s="1844"/>
      <c r="C277" s="433" t="s">
        <v>1156</v>
      </c>
      <c r="D277" s="2526"/>
      <c r="E277" s="2268"/>
      <c r="F277" s="2447"/>
      <c r="G277" s="2491"/>
      <c r="H277" s="1564"/>
      <c r="I277" s="715" t="s">
        <v>1155</v>
      </c>
      <c r="J277" s="635"/>
      <c r="K277" s="1564"/>
      <c r="L277" s="278"/>
      <c r="M277" s="405"/>
      <c r="N277" s="398"/>
      <c r="O277" s="1688"/>
      <c r="P277" s="1688"/>
      <c r="AH277" s="1695">
        <v>0</v>
      </c>
    </row>
    <row s="5468" customFormat="1" customHeight="1" ht="0.75" hidden="1">
      <c r="A278" s="1844"/>
      <c r="B278" s="1844"/>
      <c r="C278" s="433" t="s">
        <v>1163</v>
      </c>
      <c r="D278" s="2526"/>
      <c r="E278" s="2268"/>
      <c r="F278" s="2447"/>
      <c r="G278" s="464"/>
      <c r="H278" s="1564"/>
      <c r="I278" s="715"/>
      <c r="J278" s="635"/>
      <c r="K278" s="1564"/>
      <c r="L278" s="278"/>
      <c r="M278" s="405"/>
      <c r="N278" s="398"/>
      <c r="O278" s="1688"/>
      <c r="P278" s="1688"/>
      <c r="AH278" s="1695">
        <v>0</v>
      </c>
    </row>
    <row s="5468" customFormat="1" customHeight="1" ht="45" hidden="1">
      <c r="A279" s="1844" t="s">
        <v>174</v>
      </c>
      <c r="B279" s="1844" t="s">
        <v>175</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310</v>
      </c>
      <c r="M279" s="405"/>
      <c r="N279" s="398"/>
      <c r="O279" s="1688"/>
      <c r="P279" s="1688"/>
      <c r="AH279" s="1695">
        <v>0</v>
      </c>
    </row>
    <row s="5468" customFormat="1" customHeight="1" ht="18.75" hidden="1">
      <c r="A280" s="1844"/>
      <c r="B280" s="1844"/>
      <c r="C280" s="433" t="s">
        <v>1156</v>
      </c>
      <c r="D280" s="2526"/>
      <c r="E280" s="2268"/>
      <c r="F280" s="2447"/>
      <c r="G280" s="2491"/>
      <c r="H280" s="1564"/>
      <c r="I280" s="715" t="s">
        <v>1155</v>
      </c>
      <c r="J280" s="635"/>
      <c r="K280" s="1564"/>
      <c r="L280" s="278"/>
      <c r="M280" s="405"/>
      <c r="N280" s="398"/>
      <c r="O280" s="1688"/>
      <c r="P280" s="1688"/>
      <c r="AH280" s="1695">
        <v>0</v>
      </c>
    </row>
    <row s="5468" customFormat="1" customHeight="1" ht="0.75" hidden="1">
      <c r="A281" s="1844"/>
      <c r="B281" s="1844"/>
      <c r="C281" s="433" t="s">
        <v>1163</v>
      </c>
      <c r="D281" s="2526"/>
      <c r="E281" s="2268"/>
      <c r="F281" s="2447"/>
      <c r="G281" s="464"/>
      <c r="H281" s="1564"/>
      <c r="I281" s="715"/>
      <c r="J281" s="635"/>
      <c r="K281" s="1564"/>
      <c r="L281" s="278"/>
      <c r="M281" s="405"/>
      <c r="N281" s="398"/>
      <c r="O281" s="1688"/>
      <c r="P281" s="1688"/>
      <c r="AH281" s="1695">
        <v>0</v>
      </c>
    </row>
    <row s="5468" customFormat="1" customHeight="1" ht="18.75" hidden="1">
      <c r="A282" s="1844" t="s">
        <v>180</v>
      </c>
      <c r="B282" s="1844" t="s">
        <v>181</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310</v>
      </c>
      <c r="M282" s="405"/>
      <c r="N282" s="398"/>
      <c r="O282" s="1688"/>
      <c r="P282" s="1688"/>
      <c r="AH282" s="1695">
        <v>0</v>
      </c>
    </row>
    <row s="5468" customFormat="1" customHeight="1" ht="18.75" hidden="1">
      <c r="A283" s="1844"/>
      <c r="B283" s="1844"/>
      <c r="C283" s="433" t="s">
        <v>1156</v>
      </c>
      <c r="D283" s="2526"/>
      <c r="E283" s="2268"/>
      <c r="F283" s="2447"/>
      <c r="G283" s="2491"/>
      <c r="H283" s="1564"/>
      <c r="I283" s="715" t="s">
        <v>1155</v>
      </c>
      <c r="J283" s="635"/>
      <c r="K283" s="1564"/>
      <c r="L283" s="278"/>
      <c r="M283" s="405"/>
      <c r="N283" s="398"/>
      <c r="O283" s="1688"/>
      <c r="P283" s="1688"/>
      <c r="AH283" s="1695">
        <v>0</v>
      </c>
    </row>
    <row s="5468" customFormat="1" customHeight="1" ht="0.75" hidden="1">
      <c r="A284" s="1844"/>
      <c r="B284" s="1844"/>
      <c r="C284" s="433" t="s">
        <v>1163</v>
      </c>
      <c r="D284" s="2526"/>
      <c r="E284" s="2268"/>
      <c r="F284" s="2447"/>
      <c r="G284" s="464"/>
      <c r="H284" s="1564"/>
      <c r="I284" s="715"/>
      <c r="J284" s="635"/>
      <c r="K284" s="1564"/>
      <c r="L284" s="278"/>
      <c r="M284" s="405"/>
      <c r="N284" s="398"/>
      <c r="O284" s="1688"/>
      <c r="P284" s="1688"/>
      <c r="AH284" s="1695">
        <v>0</v>
      </c>
    </row>
    <row s="5468" customFormat="1" customHeight="1" ht="18.75" hidden="1">
      <c r="A285" s="1844" t="s">
        <v>186</v>
      </c>
      <c r="B285" s="1844" t="s">
        <v>187</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310</v>
      </c>
      <c r="M285" s="405"/>
      <c r="N285" s="398"/>
      <c r="O285" s="1688"/>
      <c r="P285" s="1688"/>
      <c r="AH285" s="1695">
        <v>0</v>
      </c>
    </row>
    <row s="5468" customFormat="1" customHeight="1" ht="18.75" hidden="1">
      <c r="A286" s="1844"/>
      <c r="B286" s="1844"/>
      <c r="C286" s="433" t="s">
        <v>1156</v>
      </c>
      <c r="D286" s="2526"/>
      <c r="E286" s="2268"/>
      <c r="F286" s="2447"/>
      <c r="G286" s="2491"/>
      <c r="H286" s="1564"/>
      <c r="I286" s="715" t="s">
        <v>1155</v>
      </c>
      <c r="J286" s="635"/>
      <c r="K286" s="1564"/>
      <c r="L286" s="278"/>
      <c r="M286" s="405"/>
      <c r="N286" s="398"/>
      <c r="O286" s="1688"/>
      <c r="P286" s="1688"/>
      <c r="AH286" s="1695">
        <v>0</v>
      </c>
    </row>
    <row s="5468" customFormat="1" customHeight="1" ht="0.75" hidden="1">
      <c r="A287" s="1844"/>
      <c r="B287" s="1844"/>
      <c r="C287" s="433" t="s">
        <v>1163</v>
      </c>
      <c r="D287" s="2526"/>
      <c r="E287" s="2268"/>
      <c r="F287" s="2447"/>
      <c r="G287" s="464"/>
      <c r="H287" s="1564"/>
      <c r="I287" s="715"/>
      <c r="J287" s="635"/>
      <c r="K287" s="1564"/>
      <c r="L287" s="278"/>
      <c r="M287" s="405"/>
      <c r="N287" s="398"/>
      <c r="O287" s="1688"/>
      <c r="P287" s="1688"/>
      <c r="AH287" s="1695">
        <v>0</v>
      </c>
    </row>
    <row s="5468" customFormat="1" customHeight="1" ht="18.75" hidden="1">
      <c r="A288" s="1844" t="s">
        <v>192</v>
      </c>
      <c r="B288" s="1844" t="s">
        <v>193</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310</v>
      </c>
      <c r="M288" s="405"/>
      <c r="N288" s="398"/>
      <c r="O288" s="1688"/>
      <c r="P288" s="1688"/>
      <c r="AH288" s="1695">
        <v>0</v>
      </c>
    </row>
    <row s="5468" customFormat="1" customHeight="1" ht="18.75" hidden="1">
      <c r="A289" s="1844"/>
      <c r="B289" s="1844"/>
      <c r="C289" s="433" t="s">
        <v>1156</v>
      </c>
      <c r="D289" s="2526"/>
      <c r="E289" s="2268"/>
      <c r="F289" s="2447"/>
      <c r="G289" s="2491"/>
      <c r="H289" s="1564"/>
      <c r="I289" s="715" t="s">
        <v>1155</v>
      </c>
      <c r="J289" s="635"/>
      <c r="K289" s="1564"/>
      <c r="L289" s="278"/>
      <c r="M289" s="405"/>
      <c r="N289" s="398"/>
      <c r="O289" s="1688"/>
      <c r="P289" s="1688"/>
      <c r="AH289" s="1695">
        <v>0</v>
      </c>
    </row>
    <row s="5468" customFormat="1" customHeight="1" ht="0.75" hidden="1">
      <c r="A290" s="1844"/>
      <c r="B290" s="1844"/>
      <c r="C290" s="433" t="s">
        <v>1163</v>
      </c>
      <c r="D290" s="2526"/>
      <c r="E290" s="2268"/>
      <c r="F290" s="2447"/>
      <c r="G290" s="464"/>
      <c r="H290" s="1564"/>
      <c r="I290" s="715"/>
      <c r="J290" s="635"/>
      <c r="K290" s="1564"/>
      <c r="L290" s="278"/>
      <c r="M290" s="405"/>
      <c r="N290" s="398"/>
      <c r="O290" s="1688"/>
      <c r="P290" s="1688"/>
      <c r="AH290" s="1695">
        <v>0</v>
      </c>
    </row>
    <row s="5468" customFormat="1" customHeight="1" ht="18.75" hidden="1">
      <c r="A291" s="1844" t="s">
        <v>198</v>
      </c>
      <c r="B291" s="1844" t="s">
        <v>199</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310</v>
      </c>
      <c r="M291" s="405"/>
      <c r="N291" s="398"/>
      <c r="O291" s="1688"/>
      <c r="P291" s="1688"/>
      <c r="AH291" s="1695">
        <v>0</v>
      </c>
    </row>
    <row s="5468" customFormat="1" customHeight="1" ht="18.75" hidden="1">
      <c r="A292" s="1844"/>
      <c r="B292" s="1844"/>
      <c r="C292" s="433" t="s">
        <v>1156</v>
      </c>
      <c r="D292" s="2526"/>
      <c r="E292" s="2268"/>
      <c r="F292" s="2447"/>
      <c r="G292" s="2491"/>
      <c r="H292" s="1564"/>
      <c r="I292" s="715" t="s">
        <v>1155</v>
      </c>
      <c r="J292" s="635"/>
      <c r="K292" s="1564"/>
      <c r="L292" s="278"/>
      <c r="M292" s="405"/>
      <c r="N292" s="398"/>
      <c r="O292" s="1688"/>
      <c r="P292" s="1688"/>
      <c r="AH292" s="1695">
        <v>0</v>
      </c>
    </row>
    <row s="5468" customFormat="1" customHeight="1" ht="0.75" hidden="1">
      <c r="A293" s="1844"/>
      <c r="B293" s="1844"/>
      <c r="C293" s="433" t="s">
        <v>1163</v>
      </c>
      <c r="D293" s="2526"/>
      <c r="E293" s="2268"/>
      <c r="F293" s="2447"/>
      <c r="G293" s="464"/>
      <c r="H293" s="1564"/>
      <c r="I293" s="715"/>
      <c r="J293" s="635"/>
      <c r="K293" s="1564"/>
      <c r="L293" s="278"/>
      <c r="M293" s="405"/>
      <c r="N293" s="398"/>
      <c r="O293" s="1688"/>
      <c r="P293" s="1688"/>
      <c r="AH293" s="1695">
        <v>0</v>
      </c>
    </row>
    <row s="5468" customFormat="1" customHeight="1" ht="18.75" hidden="1">
      <c r="A294" s="1844" t="s">
        <v>204</v>
      </c>
      <c r="B294" s="1844" t="s">
        <v>205</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310</v>
      </c>
      <c r="M294" s="405"/>
      <c r="N294" s="398"/>
      <c r="O294" s="1688"/>
      <c r="P294" s="1688"/>
      <c r="AH294" s="1695">
        <v>0</v>
      </c>
    </row>
    <row s="5468" customFormat="1" customHeight="1" ht="18.75" hidden="1">
      <c r="A295" s="1844"/>
      <c r="B295" s="1844"/>
      <c r="C295" s="433" t="s">
        <v>1156</v>
      </c>
      <c r="D295" s="2526"/>
      <c r="E295" s="2268"/>
      <c r="F295" s="2447"/>
      <c r="G295" s="2491"/>
      <c r="H295" s="1564"/>
      <c r="I295" s="715" t="s">
        <v>1155</v>
      </c>
      <c r="J295" s="635"/>
      <c r="K295" s="1564"/>
      <c r="L295" s="278"/>
      <c r="M295" s="405"/>
      <c r="N295" s="398"/>
      <c r="O295" s="1688"/>
      <c r="P295" s="1688"/>
      <c r="AH295" s="1695">
        <v>0</v>
      </c>
    </row>
    <row s="5468" customFormat="1" customHeight="1" ht="0.75" hidden="1">
      <c r="A296" s="1844"/>
      <c r="B296" s="1844"/>
      <c r="C296" s="433" t="s">
        <v>1163</v>
      </c>
      <c r="D296" s="2526"/>
      <c r="E296" s="2268"/>
      <c r="F296" s="2447"/>
      <c r="G296" s="464"/>
      <c r="H296" s="1564"/>
      <c r="I296" s="715"/>
      <c r="J296" s="635"/>
      <c r="K296" s="1564"/>
      <c r="L296" s="278"/>
      <c r="M296" s="405"/>
      <c r="N296" s="398"/>
      <c r="O296" s="1688"/>
      <c r="P296" s="1688"/>
      <c r="AH296" s="1695">
        <v>0</v>
      </c>
    </row>
    <row s="5468" customFormat="1" customHeight="1" ht="18.75" hidden="1">
      <c r="A297" s="1844" t="s">
        <v>224</v>
      </c>
      <c r="B297" s="1844" t="s">
        <v>225</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310</v>
      </c>
      <c r="M297" s="405"/>
      <c r="N297" s="398"/>
      <c r="O297" s="1688"/>
      <c r="P297" s="1688"/>
      <c r="AH297" s="1695">
        <v>0</v>
      </c>
    </row>
    <row s="5468" customFormat="1" customHeight="1" ht="18.75" hidden="1">
      <c r="A298" s="1844"/>
      <c r="B298" s="1844"/>
      <c r="C298" s="433" t="s">
        <v>1156</v>
      </c>
      <c r="D298" s="2526"/>
      <c r="E298" s="2268"/>
      <c r="F298" s="2447"/>
      <c r="G298" s="2491"/>
      <c r="H298" s="1564"/>
      <c r="I298" s="715" t="s">
        <v>1155</v>
      </c>
      <c r="J298" s="635"/>
      <c r="K298" s="1564"/>
      <c r="L298" s="278"/>
      <c r="M298" s="405"/>
      <c r="N298" s="398"/>
      <c r="O298" s="1688"/>
      <c r="P298" s="1688"/>
      <c r="AH298" s="1695">
        <v>0</v>
      </c>
    </row>
    <row s="5468" customFormat="1" customHeight="1" ht="0.75" hidden="1">
      <c r="A299" s="1844"/>
      <c r="B299" s="1844"/>
      <c r="C299" s="433" t="s">
        <v>1163</v>
      </c>
      <c r="D299" s="2526"/>
      <c r="E299" s="2268"/>
      <c r="F299" s="2447"/>
      <c r="G299" s="464"/>
      <c r="H299" s="1564"/>
      <c r="I299" s="715"/>
      <c r="J299" s="635"/>
      <c r="K299" s="1564"/>
      <c r="L299" s="278"/>
      <c r="M299" s="405"/>
      <c r="N299" s="398"/>
      <c r="O299" s="1688"/>
      <c r="P299" s="1688"/>
      <c r="AH299" s="1695">
        <v>0</v>
      </c>
    </row>
    <row s="5468" customFormat="1" customHeight="1" ht="18.75" hidden="1">
      <c r="A300" s="1844" t="s">
        <v>229</v>
      </c>
      <c r="B300" s="1844" t="s">
        <v>230</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310</v>
      </c>
      <c r="M300" s="405"/>
      <c r="N300" s="398"/>
      <c r="O300" s="1688"/>
      <c r="P300" s="1688"/>
      <c r="AH300" s="1695">
        <v>0</v>
      </c>
    </row>
    <row s="5468" customFormat="1" customHeight="1" ht="18.75" hidden="1">
      <c r="A301" s="1844"/>
      <c r="B301" s="1844"/>
      <c r="C301" s="433" t="s">
        <v>1156</v>
      </c>
      <c r="D301" s="2526"/>
      <c r="E301" s="2268"/>
      <c r="F301" s="2447"/>
      <c r="G301" s="2491"/>
      <c r="H301" s="1564"/>
      <c r="I301" s="715" t="s">
        <v>1155</v>
      </c>
      <c r="J301" s="635"/>
      <c r="K301" s="1564"/>
      <c r="L301" s="278"/>
      <c r="M301" s="405"/>
      <c r="N301" s="398"/>
      <c r="O301" s="1688"/>
      <c r="P301" s="1688"/>
      <c r="AH301" s="1695">
        <v>0</v>
      </c>
    </row>
    <row s="5468" customFormat="1" customHeight="1" ht="0.75" hidden="1">
      <c r="A302" s="1844"/>
      <c r="B302" s="1844"/>
      <c r="C302" s="433" t="s">
        <v>1163</v>
      </c>
      <c r="D302" s="2526"/>
      <c r="E302" s="2268"/>
      <c r="F302" s="2447"/>
      <c r="G302" s="464"/>
      <c r="H302" s="1564"/>
      <c r="I302" s="715"/>
      <c r="J302" s="635"/>
      <c r="K302" s="1564"/>
      <c r="L302" s="278"/>
      <c r="M302" s="405"/>
      <c r="N302" s="398"/>
      <c r="O302" s="1688"/>
      <c r="P302" s="1688"/>
      <c r="AH302" s="1695">
        <v>0</v>
      </c>
    </row>
    <row s="5468" customFormat="1" customHeight="1" ht="18.75" hidden="1">
      <c r="A303" s="1844" t="s">
        <v>234</v>
      </c>
      <c r="B303" s="1844" t="s">
        <v>235</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310</v>
      </c>
      <c r="M303" s="405"/>
      <c r="N303" s="398"/>
      <c r="O303" s="1688"/>
      <c r="P303" s="1688"/>
      <c r="AH303" s="1695">
        <v>0</v>
      </c>
    </row>
    <row s="5468" customFormat="1" customHeight="1" ht="18.75" hidden="1">
      <c r="A304" s="1844"/>
      <c r="B304" s="1844"/>
      <c r="C304" s="433" t="s">
        <v>1156</v>
      </c>
      <c r="D304" s="2526"/>
      <c r="E304" s="2268"/>
      <c r="F304" s="2447"/>
      <c r="G304" s="2491"/>
      <c r="H304" s="1564"/>
      <c r="I304" s="715" t="s">
        <v>1155</v>
      </c>
      <c r="J304" s="635"/>
      <c r="K304" s="1564"/>
      <c r="L304" s="278"/>
      <c r="M304" s="405"/>
      <c r="N304" s="398"/>
      <c r="O304" s="1688"/>
      <c r="P304" s="1688"/>
      <c r="AH304" s="1695">
        <v>0</v>
      </c>
    </row>
    <row s="5468" customFormat="1" customHeight="1" ht="0.75" hidden="1">
      <c r="A305" s="1844"/>
      <c r="B305" s="1844"/>
      <c r="C305" s="433" t="s">
        <v>1163</v>
      </c>
      <c r="D305" s="2526"/>
      <c r="E305" s="2268"/>
      <c r="F305" s="2447"/>
      <c r="G305" s="464"/>
      <c r="H305" s="1564"/>
      <c r="I305" s="715"/>
      <c r="J305" s="635"/>
      <c r="K305" s="1564"/>
      <c r="L305" s="278"/>
      <c r="M305" s="405"/>
      <c r="N305" s="398"/>
      <c r="O305" s="1688"/>
      <c r="P305" s="1688"/>
      <c r="AH305" s="1695">
        <v>0</v>
      </c>
    </row>
    <row s="5468" customFormat="1" customHeight="1" ht="18.75" hidden="1">
      <c r="A306" s="1844" t="s">
        <v>239</v>
      </c>
      <c r="B306" s="1844" t="s">
        <v>240</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310</v>
      </c>
      <c r="M306" s="405"/>
      <c r="N306" s="398"/>
      <c r="O306" s="1688"/>
      <c r="P306" s="1688"/>
      <c r="AH306" s="1695">
        <v>0</v>
      </c>
    </row>
    <row s="5468" customFormat="1" customHeight="1" ht="18.75" hidden="1">
      <c r="A307" s="1844"/>
      <c r="B307" s="1844"/>
      <c r="C307" s="433" t="s">
        <v>1156</v>
      </c>
      <c r="D307" s="2526"/>
      <c r="E307" s="2268"/>
      <c r="F307" s="2447"/>
      <c r="G307" s="2491"/>
      <c r="H307" s="1564"/>
      <c r="I307" s="715" t="s">
        <v>1155</v>
      </c>
      <c r="J307" s="635"/>
      <c r="K307" s="1564"/>
      <c r="L307" s="278"/>
      <c r="M307" s="405"/>
      <c r="N307" s="398"/>
      <c r="O307" s="1688"/>
      <c r="P307" s="1688"/>
      <c r="AH307" s="1695">
        <v>0</v>
      </c>
    </row>
    <row s="5468" customFormat="1" customHeight="1" ht="0.75" hidden="1">
      <c r="A308" s="1844"/>
      <c r="B308" s="1844"/>
      <c r="C308" s="433" t="s">
        <v>1163</v>
      </c>
      <c r="D308" s="2526"/>
      <c r="E308" s="2268"/>
      <c r="F308" s="2447"/>
      <c r="G308" s="464"/>
      <c r="H308" s="1564"/>
      <c r="I308" s="715"/>
      <c r="J308" s="635"/>
      <c r="K308" s="1564"/>
      <c r="L308" s="278"/>
      <c r="M308" s="405"/>
      <c r="N308" s="398"/>
      <c r="O308" s="1688"/>
      <c r="P308" s="1688"/>
      <c r="AH308" s="1695">
        <v>0</v>
      </c>
    </row>
    <row s="5468" customFormat="1" customHeight="1" ht="18.75" hidden="1">
      <c r="A309" s="1844" t="s">
        <v>244</v>
      </c>
      <c r="B309" s="1844" t="s">
        <v>245</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310</v>
      </c>
      <c r="M309" s="405"/>
      <c r="N309" s="398"/>
      <c r="O309" s="1688"/>
      <c r="P309" s="1688"/>
      <c r="AH309" s="1695">
        <v>0</v>
      </c>
    </row>
    <row s="5468" customFormat="1" customHeight="1" ht="18.75" hidden="1">
      <c r="A310" s="1844"/>
      <c r="B310" s="1844"/>
      <c r="C310" s="433" t="s">
        <v>1156</v>
      </c>
      <c r="D310" s="2526"/>
      <c r="E310" s="2268"/>
      <c r="F310" s="2447"/>
      <c r="G310" s="2491"/>
      <c r="H310" s="1564"/>
      <c r="I310" s="715" t="s">
        <v>1155</v>
      </c>
      <c r="J310" s="635"/>
      <c r="K310" s="1564"/>
      <c r="L310" s="278"/>
      <c r="M310" s="405"/>
      <c r="N310" s="398"/>
      <c r="O310" s="1688"/>
      <c r="P310" s="1688"/>
      <c r="AH310" s="1695">
        <v>0</v>
      </c>
    </row>
    <row s="5468" customFormat="1" customHeight="1" ht="0.75" hidden="1">
      <c r="A311" s="1844"/>
      <c r="B311" s="1844"/>
      <c r="C311" s="433" t="s">
        <v>1163</v>
      </c>
      <c r="D311" s="2526"/>
      <c r="E311" s="2268"/>
      <c r="F311" s="2447"/>
      <c r="G311" s="464"/>
      <c r="H311" s="1564"/>
      <c r="I311" s="715"/>
      <c r="J311" s="635"/>
      <c r="K311" s="1564"/>
      <c r="L311" s="278"/>
      <c r="M311" s="405"/>
      <c r="N311" s="398"/>
      <c r="O311" s="1688"/>
      <c r="P311" s="1688"/>
      <c r="AH311" s="1695">
        <v>0</v>
      </c>
    </row>
    <row s="5468" customFormat="1" customHeight="1" ht="18.75" hidden="1">
      <c r="A312" s="1844" t="s">
        <v>251</v>
      </c>
      <c r="B312" s="1844" t="s">
        <v>252</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тарифы на горячую воду (горячее водоснабжение)</v>
      </c>
      <c r="H312" s="1926"/>
      <c r="I312" s="1803"/>
      <c r="J312" s="1837"/>
      <c r="K312" s="1842"/>
      <c r="L312" s="1926" t="s">
        <v>310</v>
      </c>
      <c r="M312" s="405"/>
      <c r="N312" s="398"/>
      <c r="O312" s="1688"/>
      <c r="P312" s="1688"/>
      <c r="AH312" s="1695">
        <v>0</v>
      </c>
    </row>
    <row s="5468" customFormat="1" customHeight="1" ht="18.75" hidden="1">
      <c r="A313" s="1844"/>
      <c r="B313" s="1844"/>
      <c r="C313" s="433" t="s">
        <v>1156</v>
      </c>
      <c r="D313" s="2526"/>
      <c r="E313" s="2268"/>
      <c r="F313" s="2447"/>
      <c r="G313" s="2491"/>
      <c r="H313" s="1564"/>
      <c r="I313" s="715" t="s">
        <v>1155</v>
      </c>
      <c r="J313" s="635"/>
      <c r="K313" s="1564"/>
      <c r="L313" s="278"/>
      <c r="M313" s="405"/>
      <c r="N313" s="398"/>
      <c r="O313" s="1688"/>
      <c r="P313" s="1688"/>
      <c r="AH313" s="1695">
        <v>0</v>
      </c>
    </row>
    <row s="5468" customFormat="1" customHeight="1" ht="0.75" hidden="1">
      <c r="A314" s="1844"/>
      <c r="B314" s="1844"/>
      <c r="C314" s="433" t="s">
        <v>1163</v>
      </c>
      <c r="D314" s="2526"/>
      <c r="E314" s="2268"/>
      <c r="F314" s="2447"/>
      <c r="G314" s="464"/>
      <c r="H314" s="1564"/>
      <c r="I314" s="715"/>
      <c r="J314" s="635"/>
      <c r="K314" s="1564"/>
      <c r="L314" s="278"/>
      <c r="M314" s="405"/>
      <c r="N314" s="398"/>
      <c r="O314" s="1688"/>
      <c r="P314" s="1688"/>
      <c r="AH314" s="1695">
        <v>0</v>
      </c>
    </row>
    <row s="5468" customFormat="1" customHeight="1" ht="18.75" hidden="1">
      <c r="A315" s="1844" t="s">
        <v>259</v>
      </c>
      <c r="B315" s="1844" t="s">
        <v>260</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310</v>
      </c>
      <c r="M315" s="405"/>
      <c r="N315" s="398"/>
      <c r="O315" s="1688"/>
      <c r="P315" s="1688"/>
      <c r="AH315" s="1695">
        <v>0</v>
      </c>
    </row>
    <row s="5468" customFormat="1" customHeight="1" ht="18.75" hidden="1">
      <c r="A316" s="1844"/>
      <c r="B316" s="1844"/>
      <c r="C316" s="433" t="s">
        <v>1156</v>
      </c>
      <c r="D316" s="2526"/>
      <c r="E316" s="2268"/>
      <c r="F316" s="2447"/>
      <c r="G316" s="2491"/>
      <c r="H316" s="1564"/>
      <c r="I316" s="715" t="s">
        <v>1155</v>
      </c>
      <c r="J316" s="635"/>
      <c r="K316" s="1564"/>
      <c r="L316" s="278"/>
      <c r="M316" s="405"/>
      <c r="N316" s="398"/>
      <c r="O316" s="1688"/>
      <c r="P316" s="1688"/>
      <c r="AH316" s="1695">
        <v>0</v>
      </c>
    </row>
    <row s="5468" customFormat="1" customHeight="1" ht="0.75" hidden="1">
      <c r="A317" s="1844"/>
      <c r="B317" s="1844"/>
      <c r="C317" s="433" t="s">
        <v>1163</v>
      </c>
      <c r="D317" s="2526"/>
      <c r="E317" s="2268"/>
      <c r="F317" s="2447"/>
      <c r="G317" s="464"/>
      <c r="H317" s="1564"/>
      <c r="I317" s="715"/>
      <c r="J317" s="635"/>
      <c r="K317" s="1564"/>
      <c r="L317" s="278"/>
      <c r="M317" s="405"/>
      <c r="N317" s="398"/>
      <c r="O317" s="1688"/>
      <c r="P317" s="1688"/>
      <c r="AH317" s="1695">
        <v>0</v>
      </c>
    </row>
    <row s="5468" customFormat="1" customHeight="1" ht="18.75" hidden="1">
      <c r="A318" s="1844" t="s">
        <v>264</v>
      </c>
      <c r="B318" s="1844" t="s">
        <v>265</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310</v>
      </c>
      <c r="M318" s="405"/>
      <c r="N318" s="398"/>
      <c r="O318" s="1688"/>
      <c r="P318" s="1688"/>
      <c r="AH318" s="1695">
        <v>0</v>
      </c>
    </row>
    <row s="5468" customFormat="1" customHeight="1" ht="18.75" hidden="1">
      <c r="A319" s="1844"/>
      <c r="B319" s="1844"/>
      <c r="C319" s="433" t="s">
        <v>1156</v>
      </c>
      <c r="D319" s="2526"/>
      <c r="E319" s="2268"/>
      <c r="F319" s="2447"/>
      <c r="G319" s="2491"/>
      <c r="H319" s="1564"/>
      <c r="I319" s="715" t="s">
        <v>1155</v>
      </c>
      <c r="J319" s="635"/>
      <c r="K319" s="1564"/>
      <c r="L319" s="278"/>
      <c r="M319" s="405"/>
      <c r="N319" s="398"/>
      <c r="O319" s="1688"/>
      <c r="P319" s="1688"/>
      <c r="AH319" s="1695">
        <v>0</v>
      </c>
    </row>
    <row s="5468" customFormat="1" customHeight="1" ht="0.75" hidden="1">
      <c r="A320" s="1844"/>
      <c r="B320" s="1844"/>
      <c r="C320" s="433" t="s">
        <v>1163</v>
      </c>
      <c r="D320" s="2526"/>
      <c r="E320" s="2268"/>
      <c r="F320" s="2447"/>
      <c r="G320" s="464"/>
      <c r="H320" s="1564"/>
      <c r="I320" s="715"/>
      <c r="J320" s="635"/>
      <c r="K320" s="1564"/>
      <c r="L320" s="278"/>
      <c r="M320" s="405"/>
      <c r="N320" s="398"/>
      <c r="O320" s="1688"/>
      <c r="P320" s="1688"/>
      <c r="AH320" s="1695">
        <v>0</v>
      </c>
    </row>
    <row s="5468" customFormat="1" customHeight="1" ht="18.75" hidden="1">
      <c r="A321" s="1844" t="s">
        <v>269</v>
      </c>
      <c r="B321" s="1844" t="s">
        <v>270</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310</v>
      </c>
      <c r="M321" s="405"/>
      <c r="N321" s="398"/>
      <c r="O321" s="1688"/>
      <c r="P321" s="1688"/>
      <c r="AH321" s="1695">
        <v>0</v>
      </c>
    </row>
    <row s="5468" customFormat="1" customHeight="1" ht="18.75" hidden="1">
      <c r="A322" s="1844"/>
      <c r="B322" s="1844"/>
      <c r="C322" s="433" t="s">
        <v>1156</v>
      </c>
      <c r="D322" s="2526"/>
      <c r="E322" s="2268"/>
      <c r="F322" s="2447"/>
      <c r="G322" s="2491"/>
      <c r="H322" s="1564"/>
      <c r="I322" s="715" t="s">
        <v>1155</v>
      </c>
      <c r="J322" s="635"/>
      <c r="K322" s="1564"/>
      <c r="L322" s="278"/>
      <c r="M322" s="405"/>
      <c r="N322" s="398"/>
      <c r="O322" s="1688"/>
      <c r="P322" s="1688"/>
      <c r="AH322" s="1695">
        <v>0</v>
      </c>
    </row>
    <row s="5468" customFormat="1" customHeight="1" ht="0.75" hidden="1">
      <c r="A323" s="1844"/>
      <c r="B323" s="1844"/>
      <c r="C323" s="433" t="s">
        <v>1163</v>
      </c>
      <c r="D323" s="2526"/>
      <c r="E323" s="2268"/>
      <c r="F323" s="2447"/>
      <c r="G323" s="464"/>
      <c r="H323" s="1564"/>
      <c r="I323" s="715"/>
      <c r="J323" s="635"/>
      <c r="K323" s="1564"/>
      <c r="L323" s="278"/>
      <c r="M323" s="405"/>
      <c r="N323" s="398"/>
      <c r="O323" s="1688"/>
      <c r="P323" s="1688"/>
      <c r="AH323" s="1695">
        <v>0</v>
      </c>
    </row>
    <row s="5468" customFormat="1" customHeight="1" ht="18.75" hidden="1">
      <c r="A324" s="1844" t="s">
        <v>274</v>
      </c>
      <c r="B324" s="1844" t="s">
        <v>275</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310</v>
      </c>
      <c r="M324" s="405"/>
      <c r="N324" s="398"/>
      <c r="O324" s="1688"/>
      <c r="P324" s="1688"/>
      <c r="AH324" s="1695">
        <v>0</v>
      </c>
    </row>
    <row s="5468" customFormat="1" customHeight="1" ht="18.75" hidden="1">
      <c r="A325" s="1844"/>
      <c r="B325" s="1844"/>
      <c r="C325" s="433" t="s">
        <v>1156</v>
      </c>
      <c r="D325" s="2526"/>
      <c r="E325" s="2268"/>
      <c r="F325" s="2447"/>
      <c r="G325" s="2491"/>
      <c r="H325" s="1564"/>
      <c r="I325" s="715" t="s">
        <v>1155</v>
      </c>
      <c r="J325" s="635"/>
      <c r="K325" s="1564"/>
      <c r="L325" s="278"/>
      <c r="M325" s="405"/>
      <c r="N325" s="398"/>
      <c r="O325" s="1688"/>
      <c r="P325" s="1688"/>
      <c r="AH325" s="1695">
        <v>0</v>
      </c>
    </row>
    <row s="5468" customFormat="1" customHeight="1" ht="0.75" hidden="1">
      <c r="A326" s="1844"/>
      <c r="B326" s="1844"/>
      <c r="C326" s="433" t="s">
        <v>1163</v>
      </c>
      <c r="D326" s="2526"/>
      <c r="E326" s="2268"/>
      <c r="F326" s="2447"/>
      <c r="G326" s="464"/>
      <c r="H326" s="1564"/>
      <c r="I326" s="715"/>
      <c r="J326" s="635"/>
      <c r="K326" s="1564"/>
      <c r="L326" s="278"/>
      <c r="M326" s="405"/>
      <c r="N326" s="398"/>
      <c r="O326" s="1688"/>
      <c r="P326" s="1688"/>
      <c r="AH326" s="1695">
        <v>0</v>
      </c>
    </row>
    <row s="5468" customFormat="1" customHeight="1" ht="18.75" hidden="1">
      <c r="A327" s="1844" t="s">
        <v>279</v>
      </c>
      <c r="B327" s="1844" t="s">
        <v>280</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310</v>
      </c>
      <c r="M327" s="405"/>
      <c r="N327" s="398"/>
      <c r="O327" s="1688"/>
      <c r="P327" s="1688"/>
      <c r="AH327" s="1695">
        <v>0</v>
      </c>
    </row>
    <row s="5468" customFormat="1" customHeight="1" ht="18.75" hidden="1">
      <c r="A328" s="1844"/>
      <c r="B328" s="1844"/>
      <c r="C328" s="433" t="s">
        <v>1156</v>
      </c>
      <c r="D328" s="2526"/>
      <c r="E328" s="2268"/>
      <c r="F328" s="2447"/>
      <c r="G328" s="2491"/>
      <c r="H328" s="1564"/>
      <c r="I328" s="715" t="s">
        <v>1155</v>
      </c>
      <c r="J328" s="635"/>
      <c r="K328" s="1564"/>
      <c r="L328" s="278"/>
      <c r="M328" s="405"/>
      <c r="N328" s="398"/>
      <c r="O328" s="1688"/>
      <c r="P328" s="1688"/>
      <c r="AH328" s="1695">
        <v>0</v>
      </c>
    </row>
    <row s="5468" customFormat="1" customHeight="1" ht="1.05">
      <c r="A329" s="1844"/>
      <c r="B329" s="1844"/>
      <c r="C329" s="433" t="s">
        <v>1163</v>
      </c>
      <c r="D329" s="2526"/>
      <c r="E329" s="2268"/>
      <c r="F329" s="2447"/>
      <c r="G329" s="464"/>
      <c r="H329" s="1564"/>
      <c r="I329" s="715"/>
      <c r="J329" s="635"/>
      <c r="K329" s="1564"/>
      <c r="L329" s="278"/>
      <c r="M329" s="405"/>
      <c r="N329" s="398"/>
      <c r="O329" s="1688"/>
      <c r="P329" s="1688"/>
      <c r="AH329" s="1695">
        <v>1</v>
      </c>
    </row>
    <row s="593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83</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BA875-5FA8-FF64-DDB5-0.C90D9B4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151" width="9.140625" hidden="1" customWidth="1"/>
    <col min="2" max="2" style="5416" width="9.140625" hidden="1" customWidth="1"/>
    <col min="3" max="3" style="5437" width="3.00390625" customWidth="1"/>
    <col min="4" max="4" style="5468" width="6.00390625" customWidth="1"/>
    <col min="5" max="5" style="5468" width="53.00390625" customWidth="1"/>
    <col min="6" max="7" style="5468" width="35.00390625" customWidth="1"/>
    <col min="8" max="8" style="5468" width="89.00390625" customWidth="1"/>
    <col min="9" max="9" style="5468" width="10.00390625" customWidth="1"/>
    <col min="10" max="11" style="5419" width="10.00390625" customWidth="1"/>
    <col min="12" max="17" style="5468" width="10.00390625" customWidth="1"/>
    <col min="18" max="18" style="5468" width="10.57421875" hidden="1"/>
  </cols>
  <sheetData>
    <row customHeight="1" ht="22.5" hidden="1">
      <c r="N1" s="319"/>
      <c r="O1" s="319"/>
      <c r="Q1" s="319"/>
      <c r="R1" s="438" t="s">
        <v>14</v>
      </c>
    </row>
    <row s="5468" customFormat="1" customHeight="1" ht="18.75" hidden="1">
      <c r="A2" s="166"/>
      <c r="B2" s="1224"/>
      <c r="C2" s="1794" t="s">
        <v>533</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19"/>
      <c r="F5" s="2519"/>
      <c r="G5" s="2520"/>
      <c r="H5" s="330"/>
      <c r="R5" s="438">
        <v>33</v>
      </c>
    </row>
    <row s="5468" customFormat="1" customHeight="1" ht="18">
      <c r="A6" s="1733"/>
      <c r="B6" s="1224"/>
      <c r="C6" s="440"/>
      <c r="D6" s="2521" t="str">
        <f>IF(org=0,"Не определено",org)</f>
        <v>Нарьян-Марское МУ ПОКиТС</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304</v>
      </c>
      <c r="E8" s="2273"/>
      <c r="F8" s="2273"/>
      <c r="G8" s="2273"/>
      <c r="H8" s="2453" t="s">
        <v>305</v>
      </c>
      <c r="R8" s="438">
        <v>14</v>
      </c>
    </row>
    <row customHeight="1" ht="24">
      <c r="C9" s="440"/>
      <c r="D9" s="450" t="s">
        <v>89</v>
      </c>
      <c r="E9" s="172" t="s">
        <v>306</v>
      </c>
      <c r="F9" s="172" t="s">
        <v>307</v>
      </c>
      <c r="G9" s="172" t="s">
        <v>394</v>
      </c>
      <c r="H9" s="2453"/>
      <c r="R9" s="438">
        <v>23</v>
      </c>
    </row>
    <row customHeight="1" ht="14.699999999999998">
      <c r="A10" s="407"/>
      <c r="C10" s="440"/>
      <c r="D10" s="211" t="s">
        <v>110</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1"/>
      <c r="G10" s="277"/>
      <c r="H10" s="2233" t="s">
        <v>1164</v>
      </c>
      <c r="R10" s="438">
        <v>14</v>
      </c>
    </row>
    <row customHeight="1" ht="14.699999999999998">
      <c r="A11" s="407"/>
      <c r="C11" s="440"/>
      <c r="D11" s="211" t="s">
        <v>111</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1"/>
      <c r="G11" s="277"/>
      <c r="H11" s="2234"/>
      <c r="R11" s="438">
        <v>14</v>
      </c>
    </row>
    <row customHeight="1" ht="14.699999999999998">
      <c r="A12" s="166"/>
      <c r="C12" s="451"/>
      <c r="D12" s="211" t="s">
        <v>91</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92</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326</v>
      </c>
      <c r="F14" s="413"/>
      <c r="G14" s="265"/>
      <c r="H14" s="2235"/>
      <c r="R14" s="438">
        <v>14</v>
      </c>
    </row>
    <row s="546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83</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AC6D6-E985-B72D-3D74-0.01983863}" mc:Ignorable="x14ac xr xr2 xr3">
  <sheetPr>
    <tabColor rgb="FFCCCCFF"/>
  </sheetPr>
  <dimension ref="A1:AR146"/>
  <sheetViews>
    <sheetView topLeftCell="A1" showGridLines="0" zoomScale="90" workbookViewId="0">
      <selection activeCell="J110" sqref="J110:J113"/>
    </sheetView>
  </sheetViews>
  <sheetFormatPr defaultColWidth="9.140625" customHeight="1" defaultRowHeight="11.25"/>
  <cols>
    <col min="1" max="2" style="5419" width="3.7109375" hidden="1" customWidth="1"/>
    <col min="3" max="3" style="6011" width="3.00390625" customWidth="1"/>
    <col min="4" max="4" style="6011" width="6.00390625" customWidth="1"/>
    <col min="5" max="5" style="6011" width="42.00390625" customWidth="1"/>
    <col min="6" max="6" style="6011" width="13.171875" customWidth="1"/>
    <col min="7" max="7" style="6011" width="42.00390625" customWidth="1"/>
    <col min="8" max="8" style="6011" width="3.00390625" customWidth="1"/>
    <col min="9" max="9" style="6011" width="5.00390625" customWidth="1"/>
    <col min="10" max="10" style="6011" width="47.00390625" customWidth="1"/>
    <col min="11" max="11" style="6011" width="7.30078125" customWidth="1"/>
    <col min="12" max="12" style="6011" width="3.00390625" customWidth="1"/>
    <col min="13" max="13" style="6011" width="5.00390625" customWidth="1"/>
    <col min="14" max="14" style="6011" width="28.00390625" customWidth="1"/>
    <col min="15" max="15" style="6011" width="5.87109375" customWidth="1"/>
    <col min="16" max="16" style="6011" width="3.00390625" customWidth="1"/>
    <col min="17" max="17" style="6011" width="5.00390625" customWidth="1"/>
    <col min="18" max="18" style="6011" width="34.00390625" customWidth="1"/>
    <col min="19" max="20" style="6011" width="3.7109375" hidden="1" customWidth="1"/>
    <col min="21" max="21" style="6011" width="5.7109375" hidden="1" customWidth="1"/>
    <col min="22" max="22" style="6011" width="34.421875" hidden="1" customWidth="1"/>
    <col min="23" max="23" style="6011" width="30.00390625" customWidth="1"/>
    <col min="24" max="24" style="6011" width="3.00390625" customWidth="1"/>
    <col min="25" max="28" style="5544" width="9.8515625" hidden="1" customWidth="1"/>
    <col min="29" max="29" style="5544" width="27.00390625" hidden="1" customWidth="1"/>
    <col min="30" max="30" style="5544" width="10.57421875" hidden="1" customWidth="1"/>
    <col min="31" max="31" style="5544" width="10.7109375" hidden="1" customWidth="1"/>
    <col min="32" max="32" style="5544" width="10.00390625" hidden="1" customWidth="1"/>
    <col min="33" max="33" style="5544" width="12.8515625" hidden="1" customWidth="1"/>
    <col min="34" max="34" style="5544" width="24.421875" hidden="1" customWidth="1"/>
    <col min="35" max="35" style="5544" width="15.8515625" hidden="1" customWidth="1"/>
    <col min="36" max="36" style="5544" width="19.421875" hidden="1" customWidth="1"/>
    <col min="37" max="37" style="5544" width="11.00390625" hidden="1" customWidth="1"/>
    <col min="38" max="38" style="5544" width="23.57421875" hidden="1" customWidth="1"/>
    <col min="39" max="39" style="5544" width="23.8515625" hidden="1" customWidth="1"/>
    <col min="40" max="40" style="5544" width="25.28125" hidden="1" customWidth="1"/>
    <col min="41" max="41" style="5544" width="16.8515625" hidden="1" customWidth="1"/>
    <col min="42" max="42" style="5544" width="29.57421875" hidden="1" customWidth="1"/>
    <col min="43" max="43" style="5544" width="29.8515625" hidden="1" customWidth="1"/>
    <col min="44" max="44" style="6011" width="9.140625" hidden="1"/>
  </cols>
  <sheetData>
    <row customHeight="1" ht="11.25" hidden="1">
      <c r="A1" s="220"/>
      <c r="AR1" s="168" t="s">
        <v>14</v>
      </c>
    </row>
    <row customHeight="1" ht="11.25" hidden="1">
      <c r="AR2" s="168">
        <v>0</v>
      </c>
    </row>
    <row customHeight="1" ht="11.25" hidden="1">
      <c r="AR3" s="168">
        <v>0</v>
      </c>
    </row>
    <row customHeight="1" ht="3">
      <c r="AR4" s="168">
        <v>3</v>
      </c>
    </row>
    <row s="3054"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4" customFormat="1" customHeight="1" ht="14.699999999999998">
      <c r="A6" s="649"/>
      <c r="B6" s="649"/>
      <c r="C6" s="649"/>
      <c r="D6" s="2227" t="str">
        <f>IF(org=0,"Не определено",org)</f>
        <v>Нарьян-Марское МУ ПОКиТС</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52"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4"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89</v>
      </c>
      <c r="E9" s="2165" t="s">
        <v>123</v>
      </c>
      <c r="F9" s="2167"/>
      <c r="G9" s="2191" t="s">
        <v>106</v>
      </c>
      <c r="H9" s="2191" t="s">
        <v>89</v>
      </c>
      <c r="I9" s="2191"/>
      <c r="J9" s="2191" t="s">
        <v>124</v>
      </c>
      <c r="K9" s="2219" t="s">
        <v>125</v>
      </c>
      <c r="L9" s="2219"/>
      <c r="M9" s="2219"/>
      <c r="N9" s="2219"/>
      <c r="O9" s="2219" t="s">
        <v>126</v>
      </c>
      <c r="P9" s="2219"/>
      <c r="Q9" s="2219"/>
      <c r="R9" s="2219"/>
      <c r="S9" s="2219" t="s">
        <v>127</v>
      </c>
      <c r="T9" s="2219"/>
      <c r="U9" s="2219"/>
      <c r="V9" s="2219"/>
      <c r="W9" s="2191" t="s">
        <v>128</v>
      </c>
      <c r="AR9" s="168">
        <v>27</v>
      </c>
    </row>
    <row customHeight="1" ht="31.5">
      <c r="D10" s="2191"/>
      <c r="E10" s="1348" t="s">
        <v>90</v>
      </c>
      <c r="F10" s="1348" t="s">
        <v>129</v>
      </c>
      <c r="G10" s="2191"/>
      <c r="H10" s="2191"/>
      <c r="I10" s="2191"/>
      <c r="J10" s="2191"/>
      <c r="K10" s="174" t="s">
        <v>109</v>
      </c>
      <c r="L10" s="2191" t="s">
        <v>89</v>
      </c>
      <c r="M10" s="2191"/>
      <c r="N10" s="174" t="s">
        <v>130</v>
      </c>
      <c r="O10" s="174" t="s">
        <v>109</v>
      </c>
      <c r="P10" s="2191" t="s">
        <v>89</v>
      </c>
      <c r="Q10" s="2191"/>
      <c r="R10" s="174" t="s">
        <v>130</v>
      </c>
      <c r="S10" s="347" t="s">
        <v>109</v>
      </c>
      <c r="T10" s="2191" t="s">
        <v>89</v>
      </c>
      <c r="U10" s="2191"/>
      <c r="V10" s="347" t="s">
        <v>90</v>
      </c>
      <c r="W10" s="2191"/>
      <c r="Z10" s="1323" t="s">
        <v>131</v>
      </c>
      <c r="AA10" s="1323" t="s">
        <v>132</v>
      </c>
      <c r="AB10" s="1323" t="s">
        <v>133</v>
      </c>
      <c r="AC10" s="1323" t="s">
        <v>134</v>
      </c>
      <c r="AD10" s="1323" t="s">
        <v>135</v>
      </c>
      <c r="AE10" s="1323" t="s">
        <v>136</v>
      </c>
      <c r="AF10" s="1323" t="s">
        <v>137</v>
      </c>
      <c r="AG10" s="1323" t="s">
        <v>138</v>
      </c>
      <c r="AH10" s="1323" t="s">
        <v>139</v>
      </c>
      <c r="AI10" s="1323" t="s">
        <v>140</v>
      </c>
      <c r="AJ10" s="1323" t="s">
        <v>141</v>
      </c>
      <c r="AK10" s="1323" t="s">
        <v>142</v>
      </c>
      <c r="AL10" s="1323" t="s">
        <v>143</v>
      </c>
      <c r="AM10" s="1323" t="s">
        <v>144</v>
      </c>
      <c r="AN10" s="1323" t="s">
        <v>145</v>
      </c>
      <c r="AO10" s="1323" t="s">
        <v>146</v>
      </c>
      <c r="AP10" s="1323" t="s">
        <v>147</v>
      </c>
      <c r="AQ10" s="1323" t="s">
        <v>148</v>
      </c>
      <c r="AR10" s="168">
        <v>30</v>
      </c>
    </row>
    <row s="5419" customFormat="1" customHeight="1" ht="12" hidden="1">
      <c r="D11" s="1313" t="s">
        <v>110</v>
      </c>
      <c r="E11" s="1313" t="s">
        <v>111</v>
      </c>
      <c r="F11" s="1313"/>
      <c r="G11" s="1313" t="s">
        <v>91</v>
      </c>
      <c r="H11" s="2220" t="s">
        <v>112</v>
      </c>
      <c r="I11" s="2220"/>
      <c r="J11" s="1313" t="s">
        <v>93</v>
      </c>
      <c r="K11" s="1313" t="s">
        <v>94</v>
      </c>
      <c r="L11" s="2220" t="s">
        <v>113</v>
      </c>
      <c r="M11" s="2220"/>
      <c r="N11" s="1313" t="s">
        <v>149</v>
      </c>
      <c r="O11" s="1313" t="s">
        <v>150</v>
      </c>
      <c r="P11" s="2220" t="s">
        <v>151</v>
      </c>
      <c r="Q11" s="2220"/>
      <c r="R11" s="1313" t="s">
        <v>152</v>
      </c>
      <c r="S11" s="1313" t="s">
        <v>151</v>
      </c>
      <c r="T11" s="2220" t="s">
        <v>152</v>
      </c>
      <c r="U11" s="2220"/>
      <c r="V11" s="1313" t="s">
        <v>153</v>
      </c>
      <c r="W11" s="1313" t="s">
        <v>154</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6011" customFormat="1" customHeight="1" ht="17.25" hidden="1">
      <c r="A13" s="385"/>
      <c r="C13" s="273"/>
      <c r="D13" s="2199">
        <v>1</v>
      </c>
      <c r="E13" s="2207" t="s">
        <v>155</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156</v>
      </c>
      <c r="AD13" s="1331" t="s">
        <v>157</v>
      </c>
      <c r="AE13" s="1331" t="s">
        <v>158</v>
      </c>
      <c r="AF13" s="1331" t="s">
        <v>159</v>
      </c>
      <c r="AG13" s="1331" t="s">
        <v>160</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601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601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601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601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601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161</v>
      </c>
      <c r="AD18" s="1331" t="s">
        <v>162</v>
      </c>
      <c r="AE18" s="1331" t="s">
        <v>163</v>
      </c>
      <c r="AF18" s="1331" t="s">
        <v>164</v>
      </c>
      <c r="AG18" s="1331" t="s">
        <v>165</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601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601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601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601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6011" customFormat="1" customHeight="1" ht="17.25" hidden="1">
      <c r="A23" s="385"/>
      <c r="C23" s="273"/>
      <c r="D23" s="2199">
        <v>2</v>
      </c>
      <c r="E23" s="2207" t="s">
        <v>166</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161</v>
      </c>
      <c r="AD23" s="1331" t="s">
        <v>162</v>
      </c>
      <c r="AE23" s="1331" t="s">
        <v>163</v>
      </c>
      <c r="AF23" s="1331" t="s">
        <v>164</v>
      </c>
      <c r="AG23" s="1331" t="s">
        <v>165</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601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601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601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601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6011" customFormat="1" customHeight="1" ht="17.25" hidden="1">
      <c r="A28" s="385"/>
      <c r="C28" s="273"/>
      <c r="D28" s="2199">
        <v>3</v>
      </c>
      <c r="E28" s="2207" t="s">
        <v>167</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168</v>
      </c>
      <c r="AD28" s="1331" t="s">
        <v>169</v>
      </c>
      <c r="AE28" s="1331" t="s">
        <v>170</v>
      </c>
      <c r="AF28" s="1331" t="s">
        <v>171</v>
      </c>
      <c r="AG28" s="1331" t="s">
        <v>172</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601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601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601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601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6011" customFormat="1" customHeight="1" ht="17.25" hidden="1">
      <c r="A33" s="385"/>
      <c r="C33" s="273"/>
      <c r="D33" s="2199">
        <v>4</v>
      </c>
      <c r="E33" s="2207" t="s">
        <v>173</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174</v>
      </c>
      <c r="AD33" s="1331" t="s">
        <v>175</v>
      </c>
      <c r="AE33" s="1331" t="s">
        <v>176</v>
      </c>
      <c r="AF33" s="1331" t="s">
        <v>177</v>
      </c>
      <c r="AG33" s="1331" t="s">
        <v>178</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601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601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601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601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6011" customFormat="1" customHeight="1" ht="17.25" hidden="1">
      <c r="A38" s="385"/>
      <c r="C38" s="273"/>
      <c r="D38" s="2199">
        <v>5</v>
      </c>
      <c r="E38" s="2207" t="s">
        <v>179</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180</v>
      </c>
      <c r="AD38" s="1331" t="s">
        <v>181</v>
      </c>
      <c r="AE38" s="1331" t="s">
        <v>182</v>
      </c>
      <c r="AF38" s="1331" t="s">
        <v>183</v>
      </c>
      <c r="AG38" s="1331" t="s">
        <v>184</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601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601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601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601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6011" customFormat="1" customHeight="1" ht="17.25" hidden="1">
      <c r="A43" s="385"/>
      <c r="C43" s="273"/>
      <c r="D43" s="2199">
        <v>6</v>
      </c>
      <c r="E43" s="2207" t="s">
        <v>185</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186</v>
      </c>
      <c r="AD43" s="1331" t="s">
        <v>187</v>
      </c>
      <c r="AE43" s="1331" t="s">
        <v>188</v>
      </c>
      <c r="AF43" s="1331" t="s">
        <v>189</v>
      </c>
      <c r="AG43" s="1331" t="s">
        <v>190</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601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601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601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601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6011" customFormat="1" customHeight="1" ht="17.25" hidden="1">
      <c r="A48" s="385"/>
      <c r="C48" s="273"/>
      <c r="D48" s="2230">
        <v>7</v>
      </c>
      <c r="E48" s="2233" t="s">
        <v>191</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192</v>
      </c>
      <c r="AD48" s="1331" t="s">
        <v>193</v>
      </c>
      <c r="AE48" s="1331" t="s">
        <v>194</v>
      </c>
      <c r="AF48" s="1331" t="s">
        <v>195</v>
      </c>
      <c r="AG48" s="1331" t="s">
        <v>196</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601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601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601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601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6011" customFormat="1" customHeight="1" ht="17.25" hidden="1">
      <c r="A53" s="385"/>
      <c r="C53" s="273"/>
      <c r="D53" s="2199">
        <v>8</v>
      </c>
      <c r="E53" s="2207" t="s">
        <v>197</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198</v>
      </c>
      <c r="AD53" s="1331" t="s">
        <v>199</v>
      </c>
      <c r="AE53" s="1331" t="s">
        <v>200</v>
      </c>
      <c r="AF53" s="1331" t="s">
        <v>201</v>
      </c>
      <c r="AG53" s="1331" t="s">
        <v>202</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601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601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601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601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6011" customFormat="1" customHeight="1" ht="17.25" hidden="1">
      <c r="A58" s="385"/>
      <c r="C58" s="273"/>
      <c r="D58" s="2199">
        <v>9</v>
      </c>
      <c r="E58" s="2207" t="s">
        <v>203</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204</v>
      </c>
      <c r="AD58" s="1331" t="s">
        <v>205</v>
      </c>
      <c r="AE58" s="1331" t="s">
        <v>206</v>
      </c>
      <c r="AF58" s="1331" t="s">
        <v>207</v>
      </c>
      <c r="AG58" s="1331" t="s">
        <v>208</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601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601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601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601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6011" customFormat="1" customHeight="1" ht="17.25" hidden="1">
      <c r="A63" s="385"/>
      <c r="C63" s="273"/>
      <c r="D63" s="2199">
        <v>10</v>
      </c>
      <c r="E63" s="2207" t="s">
        <v>209</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210</v>
      </c>
      <c r="AD63" s="1331" t="s">
        <v>211</v>
      </c>
      <c r="AE63" s="1331" t="s">
        <v>212</v>
      </c>
      <c r="AF63" s="1331" t="s">
        <v>213</v>
      </c>
      <c r="AG63" s="1331" t="s">
        <v>214</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601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601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601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601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215</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216</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217</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218</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219</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220</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221</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222</v>
      </c>
      <c r="F77" s="2236"/>
      <c r="G77" s="2237"/>
      <c r="H77" s="2237"/>
      <c r="I77" s="2237"/>
      <c r="J77" s="2237"/>
      <c r="K77" s="2237"/>
      <c r="L77" s="2237"/>
      <c r="M77" s="2237"/>
      <c r="N77" s="2237"/>
      <c r="O77" s="2237"/>
      <c r="P77" s="2237"/>
      <c r="Q77" s="2237"/>
      <c r="R77" s="2237"/>
      <c r="S77" s="2237"/>
      <c r="T77" s="2237"/>
      <c r="U77" s="2237"/>
      <c r="V77" s="2237"/>
      <c r="W77" s="2237"/>
      <c r="AR77" s="168">
        <v>0</v>
      </c>
    </row>
    <row s="601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6011" customFormat="1" customHeight="1" ht="17.25" hidden="1">
      <c r="A79" s="385"/>
      <c r="C79" s="273"/>
      <c r="D79" s="2199">
        <v>1</v>
      </c>
      <c r="E79" s="2207" t="s">
        <v>223</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224</v>
      </c>
      <c r="AD79" s="1331" t="s">
        <v>225</v>
      </c>
      <c r="AE79" s="1331" t="s">
        <v>226</v>
      </c>
      <c r="AF79" s="1331" t="s">
        <v>227</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601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601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601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601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6011" customFormat="1" customHeight="1" ht="17.25" hidden="1">
      <c r="A84" s="385"/>
      <c r="C84" s="273"/>
      <c r="D84" s="2199">
        <v>2</v>
      </c>
      <c r="E84" s="2207" t="s">
        <v>228</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229</v>
      </c>
      <c r="AD84" s="1331" t="s">
        <v>230</v>
      </c>
      <c r="AE84" s="1331" t="s">
        <v>231</v>
      </c>
      <c r="AF84" s="1331" t="s">
        <v>232</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601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601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601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601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6011" customFormat="1" customHeight="1" ht="17.25" hidden="1">
      <c r="A89" s="385"/>
      <c r="C89" s="273"/>
      <c r="D89" s="2199">
        <v>3</v>
      </c>
      <c r="E89" s="2207" t="s">
        <v>233</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234</v>
      </c>
      <c r="AD89" s="1331" t="s">
        <v>235</v>
      </c>
      <c r="AE89" s="1331" t="s">
        <v>236</v>
      </c>
      <c r="AF89" s="1331" t="s">
        <v>237</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601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601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601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601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6011" customFormat="1" customHeight="1" ht="17.25" hidden="1">
      <c r="A94" s="385"/>
      <c r="C94" s="273"/>
      <c r="D94" s="2199">
        <v>4</v>
      </c>
      <c r="E94" s="2207" t="s">
        <v>238</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239</v>
      </c>
      <c r="AD94" s="1331" t="s">
        <v>240</v>
      </c>
      <c r="AE94" s="1331" t="s">
        <v>241</v>
      </c>
      <c r="AF94" s="1331" t="s">
        <v>242</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601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601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601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601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6011" customFormat="1" customHeight="1" ht="17.25" hidden="1">
      <c r="A99" s="385"/>
      <c r="C99" s="273"/>
      <c r="D99" s="2199">
        <v>5</v>
      </c>
      <c r="E99" s="2207" t="s">
        <v>243</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244</v>
      </c>
      <c r="AD99" s="1331" t="s">
        <v>245</v>
      </c>
      <c r="AE99" s="1331" t="s">
        <v>246</v>
      </c>
      <c r="AF99" s="1331" t="s">
        <v>247</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601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601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601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601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601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6011" customFormat="1" customHeight="1" ht="17.25">
      <c r="A105" s="385"/>
      <c r="C105" s="273"/>
      <c r="D105" s="2199">
        <v>1</v>
      </c>
      <c r="E105" s="2207" t="s">
        <v>248</v>
      </c>
      <c r="F105" s="2209" t="s">
        <v>62</v>
      </c>
      <c r="G105" s="3159" t="str">
        <f>INDEX(VD_NAME_LIST,MATCH("4189702",VD_ID_LIST,0))</f>
        <v>Горячее водоснабжение</v>
      </c>
      <c r="H105" s="3160"/>
      <c r="I105" s="3160">
        <v>1</v>
      </c>
      <c r="J105" s="3161" t="s">
        <v>249</v>
      </c>
      <c r="K105" s="3162" t="s">
        <v>19</v>
      </c>
      <c r="L105" s="3163"/>
      <c r="M105" s="3163" t="s">
        <v>110</v>
      </c>
      <c r="N105" s="3164" t="s">
        <v>28</v>
      </c>
      <c r="O105" s="3162" t="s">
        <v>19</v>
      </c>
      <c r="P105" s="3163"/>
      <c r="Q105" s="3163" t="s">
        <v>110</v>
      </c>
      <c r="R105" s="3165" t="s">
        <v>28</v>
      </c>
      <c r="S105" s="3166" t="s">
        <v>19</v>
      </c>
      <c r="T105" s="3166"/>
      <c r="U105" s="3166" t="s">
        <v>110</v>
      </c>
      <c r="V105" s="3167"/>
      <c r="W105" s="3161"/>
      <c r="Y105" s="1331"/>
      <c r="Z105" s="1331"/>
      <c r="AA105" s="1331"/>
      <c r="AB105" s="1331" t="s">
        <v>250</v>
      </c>
      <c r="AC105" s="1331" t="s">
        <v>251</v>
      </c>
      <c r="AD105" s="1331" t="s">
        <v>252</v>
      </c>
      <c r="AE105" s="1331" t="s">
        <v>253</v>
      </c>
      <c r="AF105" s="1331" t="s">
        <v>254</v>
      </c>
      <c r="AG105" s="1331"/>
      <c r="AH105" s="1331" t="str">
        <f>IF($E$105=0,"",$E$105)</f>
        <v>Тариф на горячую воду (горячее водоснабжение)</v>
      </c>
      <c r="AI105" s="1331" t="str">
        <f>IF($G$105=0,"",$G$105)</f>
        <v>Горячее водоснабжение</v>
      </c>
      <c r="AJ105" s="1331" t="str">
        <f>IF($J$105=0,"",$J$105)</f>
        <v>тарифы на горячую воду (горячее водоснабжение)</v>
      </c>
      <c r="AK105" s="1331" t="str">
        <f>IF($K$105="нет","без дифференциации",IF($N$105=0,"",$N$105))</f>
        <v>без дифференциации</v>
      </c>
      <c r="AL105" s="1331" t="str">
        <f>IF($O$105="нет","без дифференциации",IF($R$105=0,"",$R$105))</f>
        <v>без дифференциации</v>
      </c>
      <c r="AM105" s="1331" t="str">
        <f>IF($S$105="нет","без дифференциации",IF($V$105=0,"",$V$105))</f>
        <v>без дифференциации</v>
      </c>
      <c r="AN105" s="1331">
        <f>$I$105</f>
        <v>1</v>
      </c>
      <c r="AO105" s="1331" t="str">
        <f>$I$105&amp;"."&amp;$M$105</f>
        <v>1.1</v>
      </c>
      <c r="AP105" s="1331" t="str">
        <f>$I$105&amp;"."&amp;$M$105&amp;"."&amp;$Q$105</f>
        <v>1.1.1</v>
      </c>
      <c r="AQ105" s="1331" t="str">
        <f>$I$105&amp;"."&amp;$M$105&amp;"."&amp;$Q$105&amp;"."&amp;$U$105</f>
        <v>1.1.1.1</v>
      </c>
      <c r="AR105" s="1531">
        <v>0</v>
      </c>
    </row>
    <row s="6011" customFormat="1" customHeight="1" ht="17.25">
      <c r="A106" s="385"/>
      <c r="C106" s="384"/>
      <c r="D106" s="2199"/>
      <c r="E106" s="2207"/>
      <c r="F106" s="2210"/>
      <c r="G106" s="3159"/>
      <c r="H106" s="3160"/>
      <c r="I106" s="3160"/>
      <c r="J106" s="3161"/>
      <c r="K106" s="3168"/>
      <c r="L106" s="3163"/>
      <c r="M106" s="3163"/>
      <c r="N106" s="3164" t="s">
        <v>28</v>
      </c>
      <c r="O106" s="3168"/>
      <c r="P106" s="3163"/>
      <c r="Q106" s="3163"/>
      <c r="R106" s="3165" t="s">
        <v>28</v>
      </c>
      <c r="S106" s="3166"/>
      <c r="T106" s="3169"/>
      <c r="U106" s="3170"/>
      <c r="V106" s="3170"/>
      <c r="W106" s="3161"/>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6011" customFormat="1" customHeight="1" ht="17.25">
      <c r="A107" s="385"/>
      <c r="C107" s="273"/>
      <c r="D107" s="2199"/>
      <c r="E107" s="2207"/>
      <c r="F107" s="2210"/>
      <c r="G107" s="3159"/>
      <c r="H107" s="3171"/>
      <c r="I107" s="3171"/>
      <c r="J107" s="3172"/>
      <c r="K107" s="3168"/>
      <c r="L107" s="3171"/>
      <c r="M107" s="3171"/>
      <c r="N107" s="3165" t="s">
        <v>28</v>
      </c>
      <c r="O107" s="3173"/>
      <c r="P107" s="3174"/>
      <c r="Q107" s="3175"/>
      <c r="R107" s="3176" t="s">
        <v>255</v>
      </c>
      <c r="S107" s="3177"/>
      <c r="T107" s="3178"/>
      <c r="U107" s="3179"/>
      <c r="V107" s="3180"/>
      <c r="W107" s="3181"/>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6011" customFormat="1" customHeight="1" ht="17.25">
      <c r="A108" s="385"/>
      <c r="C108" s="384"/>
      <c r="D108" s="2199"/>
      <c r="E108" s="2207"/>
      <c r="F108" s="2210"/>
      <c r="G108" s="3159"/>
      <c r="H108" s="3171"/>
      <c r="I108" s="3171"/>
      <c r="J108" s="3172"/>
      <c r="K108" s="3173"/>
      <c r="L108" s="3182"/>
      <c r="M108" s="3183"/>
      <c r="N108" s="3184" t="s">
        <v>256</v>
      </c>
      <c r="O108" s="3185"/>
      <c r="P108" s="3186"/>
      <c r="Q108" s="3187"/>
      <c r="R108" s="3188"/>
      <c r="S108" s="3189"/>
      <c r="T108" s="3190"/>
      <c r="U108" s="3191"/>
      <c r="V108" s="3192"/>
      <c r="W108" s="3193"/>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6011" customFormat="1" customHeight="1" ht="17.25">
      <c r="A109" s="385"/>
      <c r="C109" s="384"/>
      <c r="D109" s="2200"/>
      <c r="E109" s="2208"/>
      <c r="F109" s="2211"/>
      <c r="G109" s="3194"/>
      <c r="H109" s="3195"/>
      <c r="I109" s="3196"/>
      <c r="J109" s="3197" t="s">
        <v>257</v>
      </c>
      <c r="K109" s="3198"/>
      <c r="L109" s="3199"/>
      <c r="M109" s="3200"/>
      <c r="N109" s="3201"/>
      <c r="O109" s="3202"/>
      <c r="P109" s="3203"/>
      <c r="Q109" s="3204"/>
      <c r="R109" s="3205"/>
      <c r="S109" s="3206"/>
      <c r="T109" s="3207"/>
      <c r="U109" s="3208"/>
      <c r="V109" s="3209"/>
      <c r="W109" s="3210"/>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6011" customFormat="1" customHeight="1" ht="17.25">
      <c r="A110" s="385"/>
      <c r="C110" s="273"/>
      <c r="D110" s="2199">
        <v>2</v>
      </c>
      <c r="E110" s="2207" t="s">
        <v>258</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259</v>
      </c>
      <c r="AD110" s="1331" t="s">
        <v>260</v>
      </c>
      <c r="AE110" s="1331" t="s">
        <v>261</v>
      </c>
      <c r="AF110" s="1331" t="s">
        <v>262</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6011" customFormat="1" customHeight="1" ht="17.25">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6011" customFormat="1" customHeight="1" ht="17.25">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6011" customFormat="1" customHeight="1" ht="17.25">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6011" customFormat="1" customHeight="1" ht="17.25">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6011" customFormat="1" customHeight="1" ht="17.25">
      <c r="A115" s="385"/>
      <c r="C115" s="273"/>
      <c r="D115" s="2199">
        <v>3</v>
      </c>
      <c r="E115" s="2207" t="s">
        <v>263</v>
      </c>
      <c r="F115" s="2209" t="s">
        <v>19</v>
      </c>
      <c r="G115" s="6221" t="s">
        <v>28</v>
      </c>
      <c r="H115" s="6013"/>
      <c r="I115" s="6014"/>
      <c r="J115" s="6059"/>
      <c r="K115" s="6017"/>
      <c r="L115" s="6017"/>
      <c r="M115" s="6017"/>
      <c r="N115" s="6015"/>
      <c r="O115" s="6017"/>
      <c r="P115" s="6017"/>
      <c r="Q115" s="6017"/>
      <c r="R115" s="6018"/>
      <c r="S115" s="6017"/>
      <c r="T115" s="6017"/>
      <c r="U115" s="6017"/>
      <c r="V115" s="6018"/>
      <c r="W115" s="3087"/>
      <c r="X115" s="1331"/>
      <c r="Y115" s="1331"/>
      <c r="Z115" s="1331"/>
      <c r="AA115" s="1331"/>
      <c r="AB115" s="1331"/>
      <c r="AC115" s="1331" t="s">
        <v>264</v>
      </c>
      <c r="AD115" s="1331" t="s">
        <v>265</v>
      </c>
      <c r="AE115" s="1331" t="s">
        <v>266</v>
      </c>
      <c r="AF115" s="1331" t="s">
        <v>267</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6011" customFormat="1" customHeight="1" ht="17.25">
      <c r="A116" s="385"/>
      <c r="C116" s="384"/>
      <c r="D116" s="2199"/>
      <c r="E116" s="2207"/>
      <c r="F116" s="2210"/>
      <c r="G116" s="6221" t="s">
        <v>28</v>
      </c>
      <c r="H116" s="6019"/>
      <c r="I116" s="6020"/>
      <c r="J116" s="6061"/>
      <c r="K116" s="6024"/>
      <c r="L116" s="6024"/>
      <c r="M116" s="6024"/>
      <c r="N116" s="6021"/>
      <c r="O116" s="6024"/>
      <c r="P116" s="6024"/>
      <c r="Q116" s="6024"/>
      <c r="R116" s="6022"/>
      <c r="S116" s="6024"/>
      <c r="T116" s="6063"/>
      <c r="U116" s="6063"/>
      <c r="V116" s="6063"/>
      <c r="W116" s="3308"/>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6011" customFormat="1" customHeight="1" ht="17.25">
      <c r="A117" s="385"/>
      <c r="C117" s="384"/>
      <c r="D117" s="2200"/>
      <c r="E117" s="2208"/>
      <c r="F117" s="2210"/>
      <c r="G117" s="6222" t="s">
        <v>28</v>
      </c>
      <c r="H117" s="6019"/>
      <c r="I117" s="6020"/>
      <c r="J117" s="6023"/>
      <c r="K117" s="6024"/>
      <c r="L117" s="6024"/>
      <c r="M117" s="6024"/>
      <c r="N117" s="6022"/>
      <c r="O117" s="6024"/>
      <c r="P117" s="6024"/>
      <c r="Q117" s="6063"/>
      <c r="R117" s="6063"/>
      <c r="S117" s="6011"/>
      <c r="T117" s="6011"/>
      <c r="U117" s="6011"/>
      <c r="V117" s="6011"/>
      <c r="W117" s="3308"/>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6011" customFormat="1" customHeight="1" ht="17.25">
      <c r="A118" s="385"/>
      <c r="C118" s="384"/>
      <c r="D118" s="2200"/>
      <c r="E118" s="2208"/>
      <c r="F118" s="2210"/>
      <c r="G118" s="6222" t="s">
        <v>28</v>
      </c>
      <c r="H118" s="6019"/>
      <c r="I118" s="6020"/>
      <c r="J118" s="6023"/>
      <c r="K118" s="6024"/>
      <c r="L118" s="6063"/>
      <c r="M118" s="6063"/>
      <c r="N118" s="6063"/>
      <c r="O118" s="6063"/>
      <c r="P118" s="6063"/>
      <c r="Q118" s="6063"/>
      <c r="R118" s="6063"/>
      <c r="S118" s="6011"/>
      <c r="T118" s="6011"/>
      <c r="U118" s="6011"/>
      <c r="V118" s="6011"/>
      <c r="W118" s="3308"/>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6011" customFormat="1" customHeight="1" ht="17.25">
      <c r="A119" s="385"/>
      <c r="C119" s="384"/>
      <c r="D119" s="2200"/>
      <c r="E119" s="2208"/>
      <c r="F119" s="2211"/>
      <c r="G119" s="6222" t="s">
        <v>28</v>
      </c>
      <c r="H119" s="3107"/>
      <c r="I119" s="3318"/>
      <c r="J119" s="3318"/>
      <c r="K119" s="3318"/>
      <c r="L119" s="3318"/>
      <c r="M119" s="3318"/>
      <c r="N119" s="3318"/>
      <c r="O119" s="3318"/>
      <c r="P119" s="3318"/>
      <c r="Q119" s="3318"/>
      <c r="R119" s="3318"/>
      <c r="S119" s="6025"/>
      <c r="T119" s="6025"/>
      <c r="U119" s="6025"/>
      <c r="V119" s="6025"/>
      <c r="W119" s="3319"/>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601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6011" customFormat="1" customHeight="1" ht="17.25" hidden="1">
      <c r="A121" s="385"/>
      <c r="C121" s="273"/>
      <c r="D121" s="2199">
        <v>1</v>
      </c>
      <c r="E121" s="2207" t="s">
        <v>268</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269</v>
      </c>
      <c r="AD121" s="1331" t="s">
        <v>270</v>
      </c>
      <c r="AE121" s="1331" t="s">
        <v>271</v>
      </c>
      <c r="AF121" s="1331" t="s">
        <v>272</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601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601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601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601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6011" customFormat="1" customHeight="1" ht="17.25" hidden="1">
      <c r="A126" s="385"/>
      <c r="C126" s="273"/>
      <c r="D126" s="2199">
        <v>2</v>
      </c>
      <c r="E126" s="2207" t="s">
        <v>273</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274</v>
      </c>
      <c r="AD126" s="1331" t="s">
        <v>275</v>
      </c>
      <c r="AE126" s="1331" t="s">
        <v>276</v>
      </c>
      <c r="AF126" s="1331" t="s">
        <v>277</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601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601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601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601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6011" customFormat="1" customHeight="1" ht="17.25" hidden="1">
      <c r="A131" s="385"/>
      <c r="C131" s="273"/>
      <c r="D131" s="2199">
        <v>3</v>
      </c>
      <c r="E131" s="2207" t="s">
        <v>278</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279</v>
      </c>
      <c r="AD131" s="1331" t="s">
        <v>280</v>
      </c>
      <c r="AE131" s="1331" t="s">
        <v>281</v>
      </c>
      <c r="AF131" s="1331" t="s">
        <v>282</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601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601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601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601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83</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N115:N117"/>
    <mergeCell ref="I115:I118"/>
    <mergeCell ref="L115:L117"/>
    <mergeCell ref="Q115:Q116"/>
    <mergeCell ref="R115:R116"/>
    <mergeCell ref="S115:S116"/>
    <mergeCell ref="P115:P116"/>
    <mergeCell ref="H115:H118"/>
    <mergeCell ref="J115:J118"/>
    <mergeCell ref="K115:K118"/>
    <mergeCell ref="M115:M117"/>
    <mergeCell ref="O115:O117"/>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S121:S122 O58:O59 S58:S59 K58:K59 K63:K64 O63:O64 S63:S64 F79:F103 K99:K100 O99:O100 F105:F119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type="textLength" operator="lessThanOrEqual" allowBlank="1" showInputMessage="1" showErrorMessage="1" errorTitle="Ошибка" error="Допускается ввод не более 900 символов!" sqref="J115">
      <formula1>900</formula1>
    </dataValidation>
    <dataValidation allowBlank="1" showInputMessage="1" showErrorMessage="1" prompt="Для выбора выполните двойной щелчок левой клавиши мыши по соответствующей ячейке." sqref="K11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15"/>
    <dataValidation type="textLength" operator="lessThanOrEqual" allowBlank="1" showInputMessage="1" showErrorMessage="1" errorTitle="Ошибка" error="Допускается ввод не более 900 символов!" sqref="R115">
      <formula1>900</formula1>
    </dataValidation>
    <dataValidation allowBlank="1" showInputMessage="1" showErrorMessage="1" prompt="Для выбора выполните двойной щелчок левой клавиши мыши по соответствующей ячейке." sqref="S115"/>
    <dataValidation type="textLength" operator="lessThanOrEqual" allowBlank="1" showInputMessage="1" showErrorMessage="1" errorTitle="Ошибка" error="Допускается ввод не более 900 символов!" sqref="V115">
      <formula1>900</formula1>
    </dataValidation>
    <dataValidation type="textLength" operator="lessThanOrEqual" allowBlank="1" showInputMessage="1" showErrorMessage="1" errorTitle="Ошибка" error="Допускается ввод не более 900 символов!" sqref="W115">
      <formula1>900</formula1>
    </dataValidation>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Для выбора выполните двойной щелчок левой клавиши мыши по соответствующей ячейке." sqref="K11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6A6E4-5E95-F4A1-E06A-0.91276F8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712" width="9.140625" hidden="1" customWidth="1"/>
    <col min="2" max="2" style="5468" width="9.140625" hidden="1" customWidth="1"/>
    <col min="3" max="3" style="5379" width="4.00390625" customWidth="1"/>
    <col min="4" max="4" style="5468" width="6.00390625" customWidth="1"/>
    <col min="5" max="5" style="5468" width="47.00390625" customWidth="1"/>
    <col min="6" max="6" style="5468" width="9.00390625" customWidth="1"/>
    <col min="7" max="7" style="5468" width="25.7109375" hidden="1" customWidth="1"/>
    <col min="8" max="8" style="5468" width="34.00390625" hidden="1" customWidth="1"/>
    <col min="9" max="9" style="5468" width="25.7109375" customWidth="1"/>
    <col min="10" max="10" style="5468" width="33.00390625" customWidth="1"/>
    <col min="11" max="11" style="5416" width="50.00390625" customWidth="1"/>
    <col min="12" max="20" style="5468" width="10.00390625" customWidth="1"/>
    <col min="21" max="21" style="5502" width="10.00390625" customWidth="1"/>
    <col min="22" max="22" style="5468" width="10.57421875" hidden="1"/>
  </cols>
  <sheetData>
    <row s="5416" customFormat="1" customHeight="1" ht="22.5" hidden="1">
      <c r="C1" s="736"/>
      <c r="G1" s="481">
        <v>4</v>
      </c>
      <c r="I1" s="481">
        <v>4</v>
      </c>
      <c r="U1" s="484"/>
      <c r="V1" s="481" t="s">
        <v>14</v>
      </c>
    </row>
    <row s="5468" customFormat="1" customHeight="1" ht="15" hidden="1">
      <c r="A2" s="426"/>
      <c r="C2" s="240"/>
      <c r="D2" s="410"/>
      <c r="E2" s="737"/>
      <c r="F2" s="586"/>
      <c r="G2" s="680"/>
      <c r="H2" s="680"/>
      <c r="I2" s="680"/>
      <c r="J2" s="680"/>
      <c r="U2" s="738"/>
      <c r="V2" s="573">
        <v>0</v>
      </c>
    </row>
    <row s="5416" customFormat="1" customHeight="1" ht="15" hidden="1">
      <c r="C3" s="736"/>
      <c r="U3" s="484"/>
      <c r="V3" s="481">
        <v>0</v>
      </c>
    </row>
    <row customHeight="1" ht="15.75">
      <c r="C4" s="240"/>
      <c r="D4" s="573"/>
      <c r="E4" s="573"/>
      <c r="F4" s="573"/>
      <c r="G4" s="573"/>
      <c r="H4" s="573"/>
      <c r="I4" s="573"/>
      <c r="J4" s="573"/>
      <c r="V4" s="569">
        <v>15</v>
      </c>
    </row>
    <row customHeight="1" ht="66">
      <c r="C5" s="240"/>
      <c r="D5" s="2301" t="s">
        <v>1165</v>
      </c>
      <c r="E5" s="2301"/>
      <c r="F5" s="2301"/>
      <c r="G5" s="2301"/>
      <c r="H5" s="2301"/>
      <c r="I5" s="2301"/>
      <c r="J5" s="2301"/>
      <c r="V5" s="569">
        <v>63</v>
      </c>
    </row>
    <row customHeight="1" ht="15.75">
      <c r="C6" s="240"/>
      <c r="D6" s="2240" t="str">
        <f>IF(org=0,"Не определено",org)</f>
        <v>Нарьян-Марское МУ ПОКиТС</v>
      </c>
      <c r="E6" s="2240"/>
      <c r="F6" s="2240"/>
      <c r="G6" s="2240"/>
      <c r="H6" s="2240"/>
      <c r="I6" s="2240"/>
      <c r="J6" s="2240"/>
      <c r="K6" s="601"/>
      <c r="V6" s="569">
        <v>15</v>
      </c>
    </row>
    <row customHeight="1" ht="15.75">
      <c r="C7" s="240"/>
      <c r="D7" s="816"/>
      <c r="E7" s="573"/>
      <c r="F7" s="573"/>
      <c r="G7" s="601">
        <v>22</v>
      </c>
      <c r="I7" s="601">
        <v>1</v>
      </c>
      <c r="J7" s="816"/>
      <c r="V7" s="569">
        <v>15</v>
      </c>
    </row>
    <row s="5468" customFormat="1" customHeight="1" ht="1.05">
      <c r="A8" s="823"/>
      <c r="C8" s="240"/>
      <c r="D8" s="573"/>
      <c r="E8" s="573"/>
      <c r="F8" s="573"/>
      <c r="G8" s="601"/>
      <c r="H8" s="816"/>
      <c r="I8" s="601" t="s">
        <v>118</v>
      </c>
      <c r="J8" s="816"/>
      <c r="K8" s="481"/>
      <c r="U8" s="739"/>
      <c r="V8" s="822">
        <v>1</v>
      </c>
    </row>
    <row customHeight="1" ht="15.75">
      <c r="C9" s="240"/>
      <c r="D9" s="775"/>
      <c r="E9" s="2431" t="s">
        <v>106</v>
      </c>
      <c r="F9" s="2432"/>
      <c r="G9" s="2459" t="str">
        <f>IF(G8="","",INDEX(DIFFERENTIATION_UNMERGE_VD,MATCH(G8,DIFFERENTIATION_ID_DIFF,0)))</f>
        <v/>
      </c>
      <c r="H9" s="2460"/>
      <c r="I9" s="2459">
        <f>IF(I8="","",INDEX(DIFFERENTIATION_UNMERGE_VD,MATCH(I8,DIFFERENTIATION_ID_DIFF,0)))</f>
        <v>0</v>
      </c>
      <c r="J9" s="2460"/>
      <c r="K9" s="2239" t="s">
        <v>305</v>
      </c>
      <c r="V9" s="569">
        <v>15</v>
      </c>
    </row>
    <row s="5468" customFormat="1" customHeight="1" ht="15.75">
      <c r="A10" s="823"/>
      <c r="C10" s="240"/>
      <c r="D10" s="775"/>
      <c r="E10" s="2431" t="s">
        <v>568</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5468" customFormat="1" customHeight="1" ht="15.75">
      <c r="A11" s="823"/>
      <c r="C11" s="240"/>
      <c r="D11" s="775"/>
      <c r="E11" s="2431" t="s">
        <v>569</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5468" customFormat="1" customHeight="1" ht="15.75">
      <c r="A12" s="823"/>
      <c r="C12" s="240"/>
      <c r="D12" s="2433" t="s">
        <v>304</v>
      </c>
      <c r="E12" s="2434"/>
      <c r="F12" s="2434"/>
      <c r="G12" s="951"/>
      <c r="H12" s="951"/>
      <c r="I12" s="951"/>
      <c r="J12" s="951"/>
      <c r="K12" s="2263"/>
      <c r="U12" s="739"/>
      <c r="V12" s="822">
        <v>15</v>
      </c>
    </row>
    <row customHeight="1" ht="35.699999999999996">
      <c r="C13" s="240"/>
      <c r="D13" s="869" t="s">
        <v>89</v>
      </c>
      <c r="E13" s="871" t="s">
        <v>306</v>
      </c>
      <c r="F13" s="871" t="s">
        <v>570</v>
      </c>
      <c r="G13" s="872" t="s">
        <v>307</v>
      </c>
      <c r="H13" s="871" t="s">
        <v>394</v>
      </c>
      <c r="I13" s="872" t="s">
        <v>307</v>
      </c>
      <c r="J13" s="871" t="s">
        <v>394</v>
      </c>
      <c r="K13" s="2296"/>
      <c r="V13" s="569">
        <v>34</v>
      </c>
    </row>
    <row customHeight="1" ht="15" hidden="1">
      <c r="C14" s="240"/>
      <c r="D14" s="657" t="s">
        <v>110</v>
      </c>
      <c r="E14" s="657" t="s">
        <v>111</v>
      </c>
      <c r="F14" s="657" t="s">
        <v>91</v>
      </c>
      <c r="G14" s="723" t="str">
        <f>G1&amp;".1"</f>
        <v>4.1</v>
      </c>
      <c r="H14" s="723"/>
      <c r="I14" s="723" t="str">
        <f>I1&amp;".1"</f>
        <v>4.1</v>
      </c>
      <c r="J14" s="723"/>
      <c r="K14" s="353"/>
      <c r="V14" s="569">
        <v>0</v>
      </c>
    </row>
    <row customHeight="1" ht="22.5" hidden="1">
      <c r="A15" s="569"/>
      <c r="C15" s="590"/>
      <c r="D15" s="585">
        <v>1</v>
      </c>
      <c r="E15" s="741" t="s">
        <v>812</v>
      </c>
      <c r="F15" s="585" t="s">
        <v>813</v>
      </c>
      <c r="G15" s="742"/>
      <c r="H15" s="742"/>
      <c r="I15" s="742"/>
      <c r="J15" s="742"/>
      <c r="K15" s="353" t="s">
        <v>814</v>
      </c>
      <c r="V15" s="569">
        <v>0</v>
      </c>
    </row>
    <row customHeight="1" ht="22.5" hidden="1">
      <c r="A16" s="569"/>
      <c r="C16" s="590"/>
      <c r="D16" s="585">
        <v>2</v>
      </c>
      <c r="E16" s="343" t="s">
        <v>815</v>
      </c>
      <c r="F16" s="585" t="s">
        <v>816</v>
      </c>
      <c r="G16" s="742"/>
      <c r="H16" s="742"/>
      <c r="I16" s="742"/>
      <c r="J16" s="742"/>
      <c r="K16" s="353" t="s">
        <v>817</v>
      </c>
      <c r="V16" s="569">
        <v>0</v>
      </c>
    </row>
    <row customHeight="1" ht="123.75" hidden="1">
      <c r="A17" s="569"/>
      <c r="C17" s="590"/>
      <c r="D17" s="585">
        <v>3</v>
      </c>
      <c r="E17" s="343" t="s">
        <v>1166</v>
      </c>
      <c r="F17" s="585" t="s">
        <v>310</v>
      </c>
      <c r="G17" s="742"/>
      <c r="H17" s="742"/>
      <c r="I17" s="742"/>
      <c r="J17" s="742"/>
      <c r="K17" s="353" t="s">
        <v>1167</v>
      </c>
      <c r="V17" s="569">
        <v>0</v>
      </c>
    </row>
    <row customHeight="1" ht="48.29999999999999">
      <c r="A18" s="569"/>
      <c r="C18" s="590"/>
      <c r="D18" s="585">
        <v>3</v>
      </c>
      <c r="E18" s="343" t="s">
        <v>818</v>
      </c>
      <c r="F18" s="585" t="s">
        <v>310</v>
      </c>
      <c r="G18" s="873" t="s">
        <v>310</v>
      </c>
      <c r="H18" s="874" t="s">
        <v>310</v>
      </c>
      <c r="I18" s="585" t="s">
        <v>310</v>
      </c>
      <c r="J18" s="642" t="s">
        <v>310</v>
      </c>
      <c r="K18" s="353" t="s">
        <v>1168</v>
      </c>
      <c r="V18" s="569">
        <v>46</v>
      </c>
    </row>
    <row customHeight="1" ht="35.699999999999996">
      <c r="A19" s="569"/>
      <c r="C19" s="590"/>
      <c r="D19" s="603" t="s">
        <v>328</v>
      </c>
      <c r="E19" s="623" t="s">
        <v>820</v>
      </c>
      <c r="F19" s="585" t="s">
        <v>821</v>
      </c>
      <c r="G19" s="881"/>
      <c r="H19" s="170"/>
      <c r="I19" s="881"/>
      <c r="J19" s="882"/>
      <c r="K19" s="743"/>
      <c r="V19" s="569">
        <v>34</v>
      </c>
    </row>
    <row customHeight="1" ht="35.699999999999996">
      <c r="A20" s="569"/>
      <c r="C20" s="590"/>
      <c r="D20" s="1954" t="s">
        <v>336</v>
      </c>
      <c r="E20" s="623" t="s">
        <v>822</v>
      </c>
      <c r="F20" s="585" t="s">
        <v>823</v>
      </c>
      <c r="G20" s="881"/>
      <c r="H20" s="170"/>
      <c r="I20" s="881"/>
      <c r="J20" s="170"/>
      <c r="K20" s="743"/>
      <c r="V20" s="569">
        <v>34</v>
      </c>
    </row>
    <row customHeight="1" ht="48.29999999999999">
      <c r="A21" s="569"/>
      <c r="C21" s="590"/>
      <c r="D21" s="1954" t="s">
        <v>338</v>
      </c>
      <c r="E21" s="623" t="s">
        <v>824</v>
      </c>
      <c r="F21" s="585" t="s">
        <v>575</v>
      </c>
      <c r="G21" s="744"/>
      <c r="H21" s="170"/>
      <c r="I21" s="744"/>
      <c r="J21" s="170"/>
      <c r="K21" s="743"/>
      <c r="V21" s="569">
        <v>46</v>
      </c>
    </row>
    <row customHeight="1" ht="67.5" hidden="1">
      <c r="A22" s="569"/>
      <c r="C22" s="590"/>
      <c r="D22" s="585">
        <v>5</v>
      </c>
      <c r="E22" s="343" t="s">
        <v>1169</v>
      </c>
      <c r="F22" s="585" t="s">
        <v>562</v>
      </c>
      <c r="G22" s="745"/>
      <c r="H22" s="746"/>
      <c r="I22" s="745"/>
      <c r="J22" s="746"/>
      <c r="K22" s="353" t="s">
        <v>1170</v>
      </c>
      <c r="V22" s="569">
        <v>0</v>
      </c>
    </row>
    <row customHeight="1" ht="33.75" hidden="1">
      <c r="C23" s="515"/>
      <c r="D23" s="585">
        <v>6</v>
      </c>
      <c r="E23" s="343" t="s">
        <v>1171</v>
      </c>
      <c r="F23" s="585" t="s">
        <v>1172</v>
      </c>
      <c r="G23" s="745"/>
      <c r="H23" s="745"/>
      <c r="I23" s="745"/>
      <c r="J23" s="745"/>
      <c r="K23" s="353" t="s">
        <v>1173</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83</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78A7C7-398A-6DD1-3AE5-0.4345C42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5372" width="32.57421875" customWidth="1"/>
    <col min="2" max="2" style="6188" width="11.00390625" customWidth="1"/>
    <col min="3" max="3" style="6188" width="9.140625"/>
    <col min="4" max="4" style="6188" width="26.57421875" customWidth="1"/>
    <col min="5" max="5" style="5930" width="36.8515625" customWidth="1"/>
    <col min="6" max="6" style="5930" width="23.57421875" customWidth="1"/>
    <col min="7" max="7" style="5930" width="31.421875" customWidth="1"/>
    <col min="8" max="8" style="5930" width="40.8515625" customWidth="1"/>
    <col min="9" max="9" style="5930" width="14.57421875" customWidth="1"/>
    <col min="10" max="10" style="5930" width="26.8515625" customWidth="1"/>
    <col min="11" max="11" style="5930" width="50.00390625" customWidth="1"/>
    <col min="12" max="12" style="5930" width="52.421875" customWidth="1"/>
    <col min="13" max="13" style="5930" width="10.7109375" customWidth="1"/>
    <col min="14" max="14" style="5930" width="55.140625" customWidth="1"/>
    <col min="15" max="15" style="5930" width="31.8515625" customWidth="1"/>
    <col min="16" max="16" style="5930" width="23.8515625" customWidth="1"/>
    <col min="17" max="17" style="5930" width="46.57421875" customWidth="1"/>
    <col min="18" max="18" style="5930" width="24.00390625" customWidth="1"/>
    <col min="19" max="19" style="5930" width="20.57421875" customWidth="1"/>
    <col min="20" max="20" style="5930" width="22.00390625" customWidth="1"/>
    <col min="21" max="22" style="5930" width="26.421875" customWidth="1"/>
    <col min="23" max="23" style="5930" width="8.28125" hidden="1" customWidth="1"/>
    <col min="24" max="24" style="5930" width="59.7109375" customWidth="1"/>
    <col min="25" max="25" style="5930" width="49.140625" customWidth="1"/>
    <col min="26" max="26" style="5930" width="11.140625" customWidth="1"/>
    <col min="27" max="30" style="5930" width="29.00390625" customWidth="1"/>
    <col min="31" max="31" style="5930" width="9.140625"/>
    <col min="32" max="32" style="5930" width="34.7109375" customWidth="1"/>
    <col min="33" max="33" style="5930" width="9.140625"/>
    <col min="34" max="35" style="5930" width="34.421875" customWidth="1"/>
    <col min="36" max="36" style="5930" width="9.140625"/>
    <col min="37" max="37" style="5930" width="24.57421875" customWidth="1"/>
    <col min="38" max="38" style="5930" width="9.140625"/>
    <col min="39" max="39" style="5930" width="26.140625" customWidth="1"/>
    <col min="40" max="40" style="5930" width="1.7109375" customWidth="1"/>
    <col min="41" max="41" style="5930" width="9.140625"/>
    <col min="42" max="43" style="5930" width="47.8515625" customWidth="1"/>
    <col min="44" max="44" style="5930" width="1.7109375" customWidth="1"/>
    <col min="45" max="45" style="5930" width="21.421875" customWidth="1"/>
    <col min="46" max="46" style="5930" width="1.7109375" customWidth="1"/>
    <col min="47" max="47" style="5930" width="31.28125" customWidth="1"/>
    <col min="48" max="48" style="5930" width="1.7109375" customWidth="1"/>
    <col min="49" max="50" style="5930" width="9.140625"/>
    <col min="51" max="51" style="5930" width="3.7109375" customWidth="1"/>
    <col min="52" max="52" style="5930" width="60.8515625" customWidth="1"/>
    <col min="53" max="53" style="5930" width="49.28125" customWidth="1"/>
    <col min="54" max="54" style="5930" width="35.140625" customWidth="1"/>
    <col min="55" max="55" style="5930" width="9.140625"/>
    <col min="56" max="56" style="5930" width="1.7109375" customWidth="1"/>
    <col min="57" max="57" style="5610" width="12.57421875" customWidth="1"/>
    <col min="58" max="58" style="5610" width="14.28125" customWidth="1"/>
    <col min="59" max="59" style="5930" width="30.7109375" customWidth="1"/>
    <col min="60" max="60" style="5611" width="40.7109375" customWidth="1"/>
    <col min="61" max="61" style="5611" width="15.00390625" customWidth="1"/>
    <col min="62" max="62" style="5611" width="40.7109375" customWidth="1"/>
    <col min="63" max="63" style="5611" width="2.7109375" customWidth="1"/>
    <col min="64" max="64" style="5611" width="44.7109375" customWidth="1"/>
    <col min="65" max="65" style="5611" width="2.7109375" customWidth="1"/>
    <col min="66" max="66" style="5611" width="40.7109375" customWidth="1"/>
    <col min="67" max="68" style="5930" width="9.140625"/>
    <col min="69" max="69" style="5930" width="18.140625" customWidth="1"/>
    <col min="70" max="70" style="5930" width="57.8515625" customWidth="1"/>
    <col min="71" max="71" style="5930" width="1.7109375" customWidth="1"/>
    <col min="72" max="72" style="5930" width="22.57421875" customWidth="1"/>
    <col min="73" max="73" style="5930" width="57.8515625" customWidth="1"/>
    <col min="74" max="74" style="5930" width="1.7109375" customWidth="1"/>
    <col min="75" max="75" style="5930" width="22.57421875" customWidth="1"/>
    <col min="76" max="76" style="5930" width="57.8515625" customWidth="1"/>
    <col min="77" max="77" style="5930" width="1.7109375" customWidth="1"/>
    <col min="78" max="78" style="5930" width="22.57421875" customWidth="1"/>
    <col min="79" max="79" style="5930" width="57.8515625" customWidth="1"/>
    <col min="80" max="81" style="5930" width="9.140625"/>
    <col min="82" max="82" style="5930" width="49.57421875" customWidth="1"/>
  </cols>
  <sheetData>
    <row s="5514" customFormat="1" customHeight="1" ht="11.25">
      <c r="A1" s="1131" t="s">
        <v>1174</v>
      </c>
      <c r="B1" s="1131" t="s">
        <v>1175</v>
      </c>
      <c r="C1" s="1131" t="s">
        <v>1176</v>
      </c>
      <c r="D1" s="1131" t="s">
        <v>1177</v>
      </c>
      <c r="E1" s="1131" t="s">
        <v>1178</v>
      </c>
      <c r="F1" s="1131" t="s">
        <v>1179</v>
      </c>
      <c r="G1" s="1131" t="s">
        <v>1180</v>
      </c>
      <c r="H1" s="1131" t="s">
        <v>1181</v>
      </c>
      <c r="I1" s="1131" t="s">
        <v>1182</v>
      </c>
      <c r="J1" s="1131" t="s">
        <v>1183</v>
      </c>
      <c r="K1" s="1131" t="s">
        <v>1184</v>
      </c>
      <c r="L1" s="1131" t="s">
        <v>1185</v>
      </c>
      <c r="M1" s="1131"/>
      <c r="N1" s="1131" t="s">
        <v>1186</v>
      </c>
      <c r="O1" s="1131" t="s">
        <v>1187</v>
      </c>
      <c r="P1" s="1131" t="s">
        <v>1188</v>
      </c>
      <c r="Q1" s="1131" t="s">
        <v>1189</v>
      </c>
      <c r="R1" s="1131" t="s">
        <v>1190</v>
      </c>
      <c r="S1" s="1131" t="s">
        <v>1191</v>
      </c>
      <c r="T1" s="1131" t="s">
        <v>1192</v>
      </c>
      <c r="U1" s="1131" t="s">
        <v>1193</v>
      </c>
      <c r="V1" s="1131"/>
      <c r="W1" s="861" t="s">
        <v>1194</v>
      </c>
      <c r="X1" s="1131" t="s">
        <v>1195</v>
      </c>
      <c r="Y1" s="1131" t="s">
        <v>1196</v>
      </c>
      <c r="Z1" s="1131"/>
      <c r="AA1" s="1131" t="s">
        <v>1197</v>
      </c>
      <c r="AB1" s="1131"/>
      <c r="AC1" s="1131" t="s">
        <v>1198</v>
      </c>
      <c r="AD1" s="1131"/>
      <c r="AF1" s="1131" t="s">
        <v>1199</v>
      </c>
      <c r="AH1" s="1131" t="s">
        <v>1200</v>
      </c>
      <c r="AI1" s="1131" t="s">
        <v>1201</v>
      </c>
      <c r="AK1" s="1131" t="s">
        <v>1202</v>
      </c>
      <c r="AM1" s="1131" t="s">
        <v>1203</v>
      </c>
      <c r="AP1" s="1131" t="s">
        <v>1204</v>
      </c>
      <c r="AQ1" s="1131" t="s">
        <v>1205</v>
      </c>
      <c r="AS1" s="1131" t="s">
        <v>1206</v>
      </c>
      <c r="AU1" s="1131" t="s">
        <v>1207</v>
      </c>
      <c r="AW1" s="1131" t="s">
        <v>1208</v>
      </c>
      <c r="AX1" s="1131" t="s">
        <v>1209</v>
      </c>
      <c r="AZ1" s="1216" t="s">
        <v>1210</v>
      </c>
      <c r="BB1" s="1131" t="s">
        <v>1211</v>
      </c>
      <c r="BC1" s="1131"/>
      <c r="BE1" s="1131" t="s">
        <v>1212</v>
      </c>
      <c r="BF1" s="1131" t="s">
        <v>1213</v>
      </c>
      <c r="BH1" s="1133" t="s">
        <v>811</v>
      </c>
      <c r="BI1" s="1134"/>
      <c r="BJ1" s="1135" t="s">
        <v>1214</v>
      </c>
      <c r="BK1" s="1134"/>
      <c r="BL1" s="1136" t="s">
        <v>910</v>
      </c>
      <c r="BM1" s="1134"/>
      <c r="BN1" s="1137" t="s">
        <v>1215</v>
      </c>
      <c r="BS1" s="1491"/>
    </row>
    <row customHeight="1" ht="11.25">
      <c r="A2" s="1138" t="s">
        <v>1216</v>
      </c>
      <c r="B2" s="1139">
        <v>2000</v>
      </c>
      <c r="C2" s="1139">
        <v>2022</v>
      </c>
      <c r="D2" s="1139" t="s">
        <v>62</v>
      </c>
      <c r="E2" s="1140" t="s">
        <v>1217</v>
      </c>
      <c r="F2" s="1140" t="s">
        <v>1218</v>
      </c>
      <c r="G2" s="1140" t="s">
        <v>1219</v>
      </c>
      <c r="H2" s="1141" t="s">
        <v>56</v>
      </c>
      <c r="I2" s="1140" t="s">
        <v>110</v>
      </c>
      <c r="J2" s="1140" t="s">
        <v>1220</v>
      </c>
      <c r="K2" s="1142" t="s">
        <v>1221</v>
      </c>
      <c r="L2" s="1143"/>
      <c r="M2" s="1142">
        <v>1</v>
      </c>
      <c r="N2" s="1226" t="s">
        <v>1222</v>
      </c>
      <c r="O2" s="1141" t="s">
        <v>1223</v>
      </c>
      <c r="P2" s="1144" t="s">
        <v>37</v>
      </c>
      <c r="Q2" s="1145" t="s">
        <v>1224</v>
      </c>
      <c r="R2" s="207" t="s">
        <v>1225</v>
      </c>
      <c r="S2" s="207" t="s">
        <v>1226</v>
      </c>
      <c r="T2" s="1146" t="s">
        <v>1227</v>
      </c>
      <c r="U2" s="1143" t="s">
        <v>1228</v>
      </c>
      <c r="V2" s="1147">
        <v>1</v>
      </c>
      <c r="W2" s="1148"/>
      <c r="X2" s="1148" t="s">
        <v>1229</v>
      </c>
      <c r="Y2" s="1139" t="s">
        <v>1230</v>
      </c>
      <c r="Z2" s="1149"/>
      <c r="AA2" s="1139" t="s">
        <v>1231</v>
      </c>
      <c r="AB2" s="1150" t="s">
        <v>1231</v>
      </c>
      <c r="AC2" s="1139" t="s">
        <v>1232</v>
      </c>
      <c r="AD2" s="1150" t="s">
        <v>1232</v>
      </c>
      <c r="AF2" s="1141" t="s">
        <v>1228</v>
      </c>
      <c r="AH2" s="1140" t="s">
        <v>1233</v>
      </c>
      <c r="AI2" s="1140" t="s">
        <v>1233</v>
      </c>
      <c r="AK2" s="1140" t="s">
        <v>1234</v>
      </c>
      <c r="AM2" s="1140" t="s">
        <v>1235</v>
      </c>
      <c r="AP2" s="1151" t="s">
        <v>1229</v>
      </c>
      <c r="AQ2" s="1152" t="s">
        <v>1229</v>
      </c>
      <c r="AS2" s="1139" t="s">
        <v>1236</v>
      </c>
      <c r="AU2" s="1184" t="s">
        <v>1237</v>
      </c>
      <c r="AW2" s="1184" t="s">
        <v>1238</v>
      </c>
      <c r="AX2" s="1184" t="s">
        <v>1238</v>
      </c>
      <c r="AZ2" s="1184" t="s">
        <v>1239</v>
      </c>
      <c r="BB2" s="1184" t="s">
        <v>1240</v>
      </c>
      <c r="BC2" s="1184" t="s">
        <v>1241</v>
      </c>
      <c r="BE2" s="1184">
        <v>2000</v>
      </c>
      <c r="BF2" s="1184" t="s">
        <v>1242</v>
      </c>
    </row>
    <row customHeight="1" ht="11.25">
      <c r="A3" s="1138" t="s">
        <v>1243</v>
      </c>
      <c r="B3" s="1139">
        <v>2001</v>
      </c>
      <c r="C3" s="1139">
        <v>2023</v>
      </c>
      <c r="D3" s="1139" t="s">
        <v>19</v>
      </c>
      <c r="E3" s="1140" t="s">
        <v>1244</v>
      </c>
      <c r="F3" s="1140" t="s">
        <v>1245</v>
      </c>
      <c r="G3" s="1140" t="s">
        <v>1246</v>
      </c>
      <c r="H3" s="1141" t="s">
        <v>1247</v>
      </c>
      <c r="I3" s="1140" t="s">
        <v>111</v>
      </c>
      <c r="J3" s="1140" t="s">
        <v>560</v>
      </c>
      <c r="K3" s="1142" t="s">
        <v>1248</v>
      </c>
      <c r="L3" s="1143">
        <f>_xlfn.IFERROR(MATCH(K3,OFFER_METHOD,0),0)</f>
        <v>0</v>
      </c>
      <c r="M3" s="1142">
        <v>2</v>
      </c>
      <c r="N3" s="1226" t="s">
        <v>1249</v>
      </c>
      <c r="O3" s="1141" t="s">
        <v>1250</v>
      </c>
      <c r="P3" s="1144" t="s">
        <v>1251</v>
      </c>
      <c r="Q3" s="1145" t="s">
        <v>1252</v>
      </c>
      <c r="R3" s="207" t="s">
        <v>1253</v>
      </c>
      <c r="S3" s="207" t="s">
        <v>1254</v>
      </c>
      <c r="T3" s="1146" t="s">
        <v>1255</v>
      </c>
      <c r="U3" s="1143" t="s">
        <v>1256</v>
      </c>
      <c r="V3" s="1147">
        <v>2</v>
      </c>
      <c r="W3" s="1148"/>
      <c r="X3" s="1148" t="s">
        <v>1257</v>
      </c>
      <c r="Y3" s="1139" t="s">
        <v>1230</v>
      </c>
      <c r="Z3" s="1149"/>
      <c r="AA3" s="1139" t="s">
        <v>1258</v>
      </c>
      <c r="AB3" s="1150" t="s">
        <v>1258</v>
      </c>
      <c r="AC3" s="1139" t="s">
        <v>1259</v>
      </c>
      <c r="AD3" s="1150" t="s">
        <v>1259</v>
      </c>
      <c r="AF3" s="1141" t="s">
        <v>1256</v>
      </c>
      <c r="AH3" s="1140" t="s">
        <v>1260</v>
      </c>
      <c r="AI3" s="1140" t="s">
        <v>1261</v>
      </c>
      <c r="AK3" s="1140" t="s">
        <v>1262</v>
      </c>
      <c r="AM3" s="1140" t="s">
        <v>1263</v>
      </c>
      <c r="AP3" s="1151" t="s">
        <v>1264</v>
      </c>
      <c r="AQ3" s="1152" t="s">
        <v>1264</v>
      </c>
      <c r="AS3" s="1139" t="s">
        <v>1265</v>
      </c>
      <c r="AU3" s="1184" t="s">
        <v>1266</v>
      </c>
      <c r="AW3" s="1184" t="s">
        <v>1267</v>
      </c>
      <c r="AX3" s="1184" t="s">
        <v>1267</v>
      </c>
      <c r="AZ3" s="1184" t="s">
        <v>1268</v>
      </c>
      <c r="BB3" s="1184" t="s">
        <v>1269</v>
      </c>
      <c r="BC3" s="1184" t="s">
        <v>1241</v>
      </c>
      <c r="BE3" s="1184">
        <v>2001</v>
      </c>
      <c r="BF3" s="1184" t="s">
        <v>1270</v>
      </c>
      <c r="BH3" s="1131" t="s">
        <v>1271</v>
      </c>
      <c r="BJ3" s="1131" t="s">
        <v>1272</v>
      </c>
      <c r="BL3" s="1131" t="s">
        <v>1273</v>
      </c>
      <c r="BN3" s="1131" t="s">
        <v>1274</v>
      </c>
      <c r="BR3" s="1131" t="s">
        <v>1275</v>
      </c>
      <c r="BS3" s="1492"/>
      <c r="BT3" s="1134"/>
      <c r="BU3" s="1131" t="s">
        <v>1276</v>
      </c>
      <c r="BV3" s="1134"/>
      <c r="BW3" s="1754"/>
      <c r="BX3" s="1756" t="s">
        <v>1277</v>
      </c>
      <c r="CA3" s="1131" t="s">
        <v>1278</v>
      </c>
    </row>
    <row customHeight="1" ht="11.25">
      <c r="A4" s="1138" t="s">
        <v>1279</v>
      </c>
      <c r="B4" s="1139">
        <v>2002</v>
      </c>
      <c r="C4" s="1139">
        <v>2024</v>
      </c>
      <c r="E4" s="1140" t="s">
        <v>1280</v>
      </c>
      <c r="F4" s="1140" t="s">
        <v>1281</v>
      </c>
      <c r="H4" s="1141" t="s">
        <v>1282</v>
      </c>
      <c r="I4" s="1140" t="s">
        <v>91</v>
      </c>
      <c r="J4" s="1140" t="s">
        <v>1283</v>
      </c>
      <c r="K4" s="1142" t="s">
        <v>1284</v>
      </c>
      <c r="L4" s="1143">
        <f>_xlfn.IFERROR(MATCH(K4,OFFER_METHOD,0),0)</f>
        <v>0</v>
      </c>
      <c r="M4" s="1142">
        <v>3</v>
      </c>
      <c r="N4" s="1226" t="s">
        <v>1285</v>
      </c>
      <c r="O4" s="1140" t="s">
        <v>1286</v>
      </c>
      <c r="Q4" s="1145" t="s">
        <v>1287</v>
      </c>
      <c r="R4" s="207" t="s">
        <v>1288</v>
      </c>
      <c r="S4" s="207" t="s">
        <v>1289</v>
      </c>
      <c r="T4" s="1146" t="s">
        <v>1290</v>
      </c>
      <c r="U4" s="1143" t="s">
        <v>1291</v>
      </c>
      <c r="V4" s="1147">
        <v>3</v>
      </c>
      <c r="W4" s="1148"/>
      <c r="X4" s="1148" t="s">
        <v>1292</v>
      </c>
      <c r="Y4" s="1139" t="s">
        <v>1230</v>
      </c>
      <c r="Z4" s="1155"/>
      <c r="AC4" s="1139" t="s">
        <v>1293</v>
      </c>
      <c r="AD4" s="1150" t="s">
        <v>1293</v>
      </c>
      <c r="AF4" s="1141" t="s">
        <v>1291</v>
      </c>
      <c r="AH4" s="1141" t="s">
        <v>1294</v>
      </c>
      <c r="AK4" s="1140" t="s">
        <v>1295</v>
      </c>
      <c r="AM4" s="1140" t="s">
        <v>1296</v>
      </c>
      <c r="AP4" s="1151" t="s">
        <v>1257</v>
      </c>
      <c r="AQ4" s="1152" t="s">
        <v>1257</v>
      </c>
      <c r="AS4" s="1139" t="s">
        <v>1297</v>
      </c>
      <c r="AU4" s="1184" t="s">
        <v>1298</v>
      </c>
      <c r="AW4" s="1184" t="s">
        <v>1299</v>
      </c>
      <c r="AX4" s="1184" t="s">
        <v>1299</v>
      </c>
      <c r="AZ4" s="1184" t="s">
        <v>1300</v>
      </c>
      <c r="BB4" s="1184" t="s">
        <v>1301</v>
      </c>
      <c r="BC4" s="1184" t="s">
        <v>1302</v>
      </c>
      <c r="BE4" s="1184">
        <v>2002</v>
      </c>
      <c r="BF4" s="1184" t="s">
        <v>1303</v>
      </c>
      <c r="BH4" s="1132" t="s">
        <v>1304</v>
      </c>
      <c r="BJ4" s="1132" t="s">
        <v>1304</v>
      </c>
      <c r="BL4" s="1132" t="s">
        <v>1304</v>
      </c>
      <c r="BN4" s="1132" t="s">
        <v>1304</v>
      </c>
      <c r="BQ4" s="1496" t="s">
        <v>1305</v>
      </c>
      <c r="BR4" s="1223" t="s">
        <v>1306</v>
      </c>
      <c r="BS4" s="338"/>
      <c r="BT4" s="1496" t="s">
        <v>1307</v>
      </c>
      <c r="BU4" s="1223" t="s">
        <v>1308</v>
      </c>
      <c r="BV4" s="1134"/>
      <c r="BW4" s="1761" t="s">
        <v>1309</v>
      </c>
      <c r="BX4" s="1755" t="s">
        <v>1310</v>
      </c>
      <c r="BZ4" s="1496" t="s">
        <v>1311</v>
      </c>
      <c r="CA4" s="1223" t="s">
        <v>1312</v>
      </c>
    </row>
    <row customHeight="1" ht="11.25">
      <c r="A5" s="1138" t="s">
        <v>1313</v>
      </c>
      <c r="B5" s="1139">
        <v>2003</v>
      </c>
      <c r="C5" s="1139">
        <v>2025</v>
      </c>
      <c r="E5" s="1140" t="s">
        <v>1314</v>
      </c>
      <c r="F5" s="1140" t="s">
        <v>1315</v>
      </c>
      <c r="H5" s="1141" t="s">
        <v>1316</v>
      </c>
      <c r="I5" s="1140" t="s">
        <v>92</v>
      </c>
      <c r="K5" s="1142" t="s">
        <v>1317</v>
      </c>
      <c r="L5" s="1143">
        <f>_xlfn.IFERROR(MATCH(K5,OFFER_METHOD,0),0)</f>
        <v>0</v>
      </c>
      <c r="M5" s="1142">
        <v>4</v>
      </c>
      <c r="N5" s="1156" t="s">
        <v>1318</v>
      </c>
      <c r="O5" s="1140" t="s">
        <v>1319</v>
      </c>
      <c r="Q5" s="1145" t="s">
        <v>1320</v>
      </c>
      <c r="R5" s="207" t="s">
        <v>545</v>
      </c>
      <c r="T5" s="1141" t="s">
        <v>1321</v>
      </c>
      <c r="U5" s="1143" t="s">
        <v>1322</v>
      </c>
      <c r="V5" s="1147">
        <v>4</v>
      </c>
      <c r="W5" s="1148"/>
      <c r="X5" s="1148" t="s">
        <v>167</v>
      </c>
      <c r="Y5" s="1139" t="s">
        <v>1323</v>
      </c>
      <c r="Z5" s="1155">
        <v>1</v>
      </c>
      <c r="AF5" s="1141" t="s">
        <v>1324</v>
      </c>
      <c r="AH5" s="1140" t="s">
        <v>1325</v>
      </c>
      <c r="AK5" s="1140" t="s">
        <v>1326</v>
      </c>
      <c r="AM5" s="1140" t="s">
        <v>1327</v>
      </c>
      <c r="AP5" s="1151" t="s">
        <v>167</v>
      </c>
      <c r="AQ5" s="1152" t="s">
        <v>167</v>
      </c>
      <c r="AU5" s="1184" t="s">
        <v>1328</v>
      </c>
      <c r="AW5" s="1184" t="s">
        <v>1329</v>
      </c>
      <c r="AX5" s="1184" t="s">
        <v>1329</v>
      </c>
      <c r="AZ5" s="1184" t="s">
        <v>1330</v>
      </c>
      <c r="BB5" s="1184" t="s">
        <v>1331</v>
      </c>
      <c r="BC5" s="1184" t="s">
        <v>1332</v>
      </c>
      <c r="BE5" s="1184">
        <v>2003</v>
      </c>
      <c r="BF5" s="1184" t="s">
        <v>1333</v>
      </c>
      <c r="BH5" s="1132" t="s">
        <v>1334</v>
      </c>
      <c r="BJ5" s="1132" t="s">
        <v>1334</v>
      </c>
      <c r="BL5" s="1132" t="s">
        <v>1334</v>
      </c>
      <c r="BN5" s="1132" t="s">
        <v>1335</v>
      </c>
      <c r="BQ5" s="1345">
        <v>4213775</v>
      </c>
      <c r="BR5" s="1132" t="s">
        <v>1229</v>
      </c>
      <c r="BS5" s="1493"/>
      <c r="BT5" s="1345">
        <v>64236871</v>
      </c>
      <c r="BU5" s="1132" t="s">
        <v>228</v>
      </c>
      <c r="BV5" s="1134"/>
      <c r="BW5" s="1759">
        <v>4213767</v>
      </c>
      <c r="BX5" s="1757" t="s">
        <v>1336</v>
      </c>
      <c r="BZ5" s="1345">
        <v>64237509</v>
      </c>
      <c r="CA5" s="1359" t="s">
        <v>1337</v>
      </c>
    </row>
    <row customHeight="1" ht="11.25">
      <c r="A6" s="1138" t="s">
        <v>1338</v>
      </c>
      <c r="B6" s="1139">
        <v>2004</v>
      </c>
      <c r="C6" s="1139">
        <v>2026</v>
      </c>
      <c r="E6" s="1140" t="s">
        <v>1339</v>
      </c>
      <c r="F6" s="1157"/>
      <c r="H6" s="1141" t="s">
        <v>1340</v>
      </c>
      <c r="I6" s="1140" t="s">
        <v>112</v>
      </c>
      <c r="J6" s="1131" t="s">
        <v>1341</v>
      </c>
      <c r="L6" s="1143">
        <f>SUM(kind_of_control_method_filter)</f>
        <v>0</v>
      </c>
      <c r="N6" s="1156" t="s">
        <v>1342</v>
      </c>
      <c r="O6" s="1140" t="s">
        <v>1343</v>
      </c>
      <c r="R6" s="207" t="s">
        <v>1224</v>
      </c>
      <c r="T6" s="1141" t="s">
        <v>1344</v>
      </c>
      <c r="U6" s="1143" t="s">
        <v>1324</v>
      </c>
      <c r="V6" s="1147">
        <v>5</v>
      </c>
      <c r="W6" s="1148"/>
      <c r="X6" s="1139" t="s">
        <v>173</v>
      </c>
      <c r="Y6" s="1139" t="s">
        <v>1345</v>
      </c>
      <c r="Z6" s="1155"/>
      <c r="AA6" s="1158"/>
      <c r="AH6" s="1140" t="s">
        <v>1346</v>
      </c>
      <c r="AK6" s="1140" t="s">
        <v>1347</v>
      </c>
      <c r="AM6" s="1140" t="s">
        <v>1348</v>
      </c>
      <c r="AP6" s="1151" t="s">
        <v>173</v>
      </c>
      <c r="AQ6" s="1152" t="s">
        <v>173</v>
      </c>
      <c r="AU6" s="1184" t="s">
        <v>1349</v>
      </c>
      <c r="AW6" s="1184" t="s">
        <v>1350</v>
      </c>
      <c r="AX6" s="1184" t="s">
        <v>1350</v>
      </c>
      <c r="BB6" s="1184" t="s">
        <v>1351</v>
      </c>
      <c r="BC6" s="1184" t="s">
        <v>1332</v>
      </c>
      <c r="BE6" s="1184">
        <v>2004</v>
      </c>
      <c r="BF6" s="1184" t="s">
        <v>1352</v>
      </c>
      <c r="BH6" s="1132" t="s">
        <v>1353</v>
      </c>
      <c r="BJ6" s="1132" t="s">
        <v>1354</v>
      </c>
      <c r="BL6" s="1132" t="s">
        <v>1354</v>
      </c>
      <c r="BN6" s="1132" t="s">
        <v>1355</v>
      </c>
      <c r="BQ6" s="1345">
        <v>4213784</v>
      </c>
      <c r="BR6" s="1359" t="s">
        <v>1264</v>
      </c>
      <c r="BS6" s="1494"/>
      <c r="BT6" s="1345">
        <v>64236872</v>
      </c>
      <c r="BU6" s="1132" t="s">
        <v>233</v>
      </c>
      <c r="BV6" s="1134"/>
      <c r="BW6" s="1759">
        <v>4213768</v>
      </c>
      <c r="BX6" s="1757" t="s">
        <v>258</v>
      </c>
      <c r="BZ6" s="1345">
        <v>64237510</v>
      </c>
      <c r="CA6" s="1132" t="s">
        <v>1356</v>
      </c>
    </row>
    <row customHeight="1" ht="11.25">
      <c r="A7" s="1138" t="s">
        <v>1357</v>
      </c>
      <c r="B7" s="1139">
        <v>2005</v>
      </c>
      <c r="E7" s="1140" t="s">
        <v>1358</v>
      </c>
      <c r="F7" s="1157"/>
      <c r="H7" s="1141" t="s">
        <v>1359</v>
      </c>
      <c r="I7" s="1140" t="s">
        <v>93</v>
      </c>
      <c r="J7" s="1140" t="s">
        <v>1360</v>
      </c>
      <c r="N7" s="1160" t="s">
        <v>1361</v>
      </c>
      <c r="O7" s="1140" t="s">
        <v>1362</v>
      </c>
      <c r="U7" s="1143" t="s">
        <v>19</v>
      </c>
      <c r="V7" s="434" t="s">
        <v>93</v>
      </c>
      <c r="W7" s="1148"/>
      <c r="X7" s="1139" t="s">
        <v>179</v>
      </c>
      <c r="Y7" s="1139" t="s">
        <v>1323</v>
      </c>
      <c r="Z7" s="1155"/>
      <c r="AA7" s="1158"/>
      <c r="AH7" s="1140" t="s">
        <v>1363</v>
      </c>
      <c r="AK7" s="1140" t="s">
        <v>1364</v>
      </c>
      <c r="AM7" s="1140" t="s">
        <v>1365</v>
      </c>
      <c r="AP7" s="1151" t="s">
        <v>179</v>
      </c>
      <c r="AQ7" s="1152" t="s">
        <v>179</v>
      </c>
      <c r="AU7" s="1184" t="s">
        <v>1366</v>
      </c>
      <c r="AW7" s="1184" t="s">
        <v>1367</v>
      </c>
      <c r="AX7" s="1184" t="s">
        <v>1367</v>
      </c>
      <c r="AZ7" s="1131" t="s">
        <v>1368</v>
      </c>
      <c r="BB7" s="1184" t="s">
        <v>1369</v>
      </c>
      <c r="BC7" s="1184" t="s">
        <v>1332</v>
      </c>
      <c r="BE7" s="1184">
        <v>2005</v>
      </c>
      <c r="BF7" s="1184" t="s">
        <v>1370</v>
      </c>
      <c r="BH7" s="1132" t="s">
        <v>1371</v>
      </c>
      <c r="BJ7" s="1132" t="s">
        <v>1353</v>
      </c>
      <c r="BL7" s="1132" t="s">
        <v>1353</v>
      </c>
      <c r="BN7" s="1132" t="s">
        <v>1372</v>
      </c>
      <c r="BQ7" s="1345">
        <v>4213781</v>
      </c>
      <c r="BR7" s="1132" t="s">
        <v>1257</v>
      </c>
      <c r="BS7" s="1493"/>
      <c r="BT7" s="1345">
        <v>64236873</v>
      </c>
      <c r="BU7" s="1132" t="s">
        <v>238</v>
      </c>
      <c r="BV7" s="1134"/>
      <c r="BW7" s="1759">
        <v>4213769</v>
      </c>
      <c r="BX7" s="1757" t="s">
        <v>1373</v>
      </c>
      <c r="BZ7" s="1345">
        <v>64237511</v>
      </c>
      <c r="CA7" s="1132" t="s">
        <v>273</v>
      </c>
    </row>
    <row customHeight="1" ht="11.25">
      <c r="A8" s="1138" t="s">
        <v>1374</v>
      </c>
      <c r="B8" s="1139">
        <v>2006</v>
      </c>
      <c r="E8" s="1140" t="s">
        <v>1375</v>
      </c>
      <c r="F8" s="1157"/>
      <c r="H8" s="1141" t="s">
        <v>1376</v>
      </c>
      <c r="I8" s="1140" t="s">
        <v>94</v>
      </c>
      <c r="J8" s="1140" t="s">
        <v>1377</v>
      </c>
      <c r="N8" s="1227" t="s">
        <v>1378</v>
      </c>
      <c r="O8" s="1140" t="s">
        <v>1379</v>
      </c>
      <c r="V8" s="434" t="s">
        <v>94</v>
      </c>
      <c r="W8" s="1148"/>
      <c r="X8" s="1139" t="s">
        <v>185</v>
      </c>
      <c r="Y8" s="1139" t="s">
        <v>1323</v>
      </c>
      <c r="Z8" s="1155"/>
      <c r="AA8" s="1158"/>
      <c r="AK8" s="1140" t="s">
        <v>1380</v>
      </c>
      <c r="AP8" s="1151" t="s">
        <v>185</v>
      </c>
      <c r="AQ8" s="1152" t="s">
        <v>185</v>
      </c>
      <c r="AU8" s="1184" t="s">
        <v>1381</v>
      </c>
      <c r="AW8" s="1184" t="s">
        <v>1382</v>
      </c>
      <c r="AX8" s="1184" t="s">
        <v>1382</v>
      </c>
      <c r="AZ8" s="1184" t="s">
        <v>1383</v>
      </c>
      <c r="BB8" s="1184" t="s">
        <v>1384</v>
      </c>
      <c r="BC8" s="1184" t="s">
        <v>1332</v>
      </c>
      <c r="BE8" s="1184">
        <v>2006</v>
      </c>
      <c r="BF8" s="1184" t="s">
        <v>1385</v>
      </c>
      <c r="BH8" s="1132" t="s">
        <v>1386</v>
      </c>
      <c r="BJ8" s="1132" t="s">
        <v>1387</v>
      </c>
      <c r="BL8" s="1132" t="s">
        <v>1387</v>
      </c>
      <c r="BN8" s="1132" t="s">
        <v>1388</v>
      </c>
      <c r="BQ8" s="1345">
        <v>4213776</v>
      </c>
      <c r="BR8" s="1132" t="s">
        <v>167</v>
      </c>
      <c r="BS8" s="1493"/>
      <c r="BT8" s="1345">
        <v>64236874</v>
      </c>
      <c r="BU8" s="1359" t="s">
        <v>1389</v>
      </c>
      <c r="BV8" s="1134"/>
      <c r="BW8" s="1759">
        <v>4213770</v>
      </c>
      <c r="BX8" s="1760" t="s">
        <v>1390</v>
      </c>
      <c r="BZ8" s="1345">
        <v>64237512</v>
      </c>
      <c r="CA8" s="1132" t="s">
        <v>268</v>
      </c>
    </row>
    <row customHeight="1" ht="11.25">
      <c r="A9" s="1138" t="s">
        <v>1391</v>
      </c>
      <c r="B9" s="1139">
        <v>2007</v>
      </c>
      <c r="E9" s="1140" t="s">
        <v>1392</v>
      </c>
      <c r="F9" s="1157"/>
      <c r="G9" s="1131" t="s">
        <v>1393</v>
      </c>
      <c r="H9" s="1131" t="s">
        <v>1394</v>
      </c>
      <c r="I9" s="1140" t="s">
        <v>113</v>
      </c>
      <c r="O9" s="1140" t="s">
        <v>1395</v>
      </c>
      <c r="V9" s="434" t="s">
        <v>113</v>
      </c>
      <c r="W9" s="1148"/>
      <c r="X9" s="1139" t="s">
        <v>191</v>
      </c>
      <c r="Y9" s="1139" t="s">
        <v>1230</v>
      </c>
      <c r="Z9" s="1155">
        <v>1</v>
      </c>
      <c r="AA9" s="1158"/>
      <c r="AK9" s="1140" t="s">
        <v>1396</v>
      </c>
      <c r="AP9" s="1151" t="s">
        <v>1397</v>
      </c>
      <c r="AQ9" s="1152" t="s">
        <v>1397</v>
      </c>
      <c r="AW9" s="1184" t="s">
        <v>1398</v>
      </c>
      <c r="AX9" s="1184" t="s">
        <v>1398</v>
      </c>
      <c r="AZ9" s="1184" t="s">
        <v>1399</v>
      </c>
      <c r="BB9" s="1184" t="s">
        <v>1400</v>
      </c>
      <c r="BC9" s="1184" t="s">
        <v>1332</v>
      </c>
      <c r="BE9" s="1184">
        <v>2007</v>
      </c>
      <c r="BF9" s="1184" t="s">
        <v>1401</v>
      </c>
      <c r="BH9" s="1132" t="s">
        <v>1402</v>
      </c>
      <c r="BJ9" s="1132" t="s">
        <v>1403</v>
      </c>
      <c r="BL9" s="1132" t="s">
        <v>1403</v>
      </c>
      <c r="BN9" s="1132" t="s">
        <v>1404</v>
      </c>
      <c r="BQ9" s="1345">
        <v>4213777</v>
      </c>
      <c r="BR9" s="1132" t="s">
        <v>173</v>
      </c>
      <c r="BS9" s="1493"/>
      <c r="BT9" s="1345">
        <v>64236875</v>
      </c>
      <c r="BU9" s="1132" t="s">
        <v>243</v>
      </c>
      <c r="BV9" s="1134"/>
      <c r="BW9" s="1754"/>
      <c r="BX9" s="1754"/>
    </row>
    <row customHeight="1" ht="11.25">
      <c r="A10" s="1138" t="s">
        <v>1405</v>
      </c>
      <c r="B10" s="1139">
        <v>2008</v>
      </c>
      <c r="E10" s="1140" t="s">
        <v>1406</v>
      </c>
      <c r="F10" s="1157"/>
      <c r="G10" s="1140" t="s">
        <v>1407</v>
      </c>
      <c r="H10" s="1140" t="s">
        <v>1408</v>
      </c>
      <c r="I10" s="1140" t="s">
        <v>149</v>
      </c>
      <c r="J10" s="1131" t="s">
        <v>1409</v>
      </c>
      <c r="K10" s="1131" t="s">
        <v>1410</v>
      </c>
      <c r="O10" s="1140" t="s">
        <v>1411</v>
      </c>
      <c r="V10" s="435" t="s">
        <v>149</v>
      </c>
      <c r="W10" s="1161"/>
      <c r="X10" s="1161" t="s">
        <v>1412</v>
      </c>
      <c r="Y10" s="1162" t="s">
        <v>1413</v>
      </c>
      <c r="Z10" s="1155"/>
      <c r="AP10" s="1151" t="s">
        <v>1412</v>
      </c>
      <c r="AQ10" s="1152" t="s">
        <v>1412</v>
      </c>
      <c r="AW10" s="1184" t="s">
        <v>1414</v>
      </c>
      <c r="AX10" s="1184" t="s">
        <v>1414</v>
      </c>
      <c r="AZ10" s="1184" t="s">
        <v>1415</v>
      </c>
      <c r="BB10" s="1184" t="s">
        <v>1416</v>
      </c>
      <c r="BC10" s="1184" t="s">
        <v>1332</v>
      </c>
      <c r="BE10" s="1184">
        <v>2008</v>
      </c>
      <c r="BF10" s="1184" t="s">
        <v>1417</v>
      </c>
      <c r="BH10" s="1132" t="s">
        <v>1418</v>
      </c>
      <c r="BJ10" s="1132" t="s">
        <v>1419</v>
      </c>
      <c r="BL10" s="1132" t="s">
        <v>1419</v>
      </c>
      <c r="BN10" s="1132" t="s">
        <v>1420</v>
      </c>
      <c r="BQ10" s="1345">
        <v>4213778</v>
      </c>
      <c r="BR10" s="1132" t="s">
        <v>179</v>
      </c>
      <c r="BS10" s="1493"/>
      <c r="BT10" s="1345">
        <v>64236876</v>
      </c>
      <c r="BU10" s="1132" t="s">
        <v>223</v>
      </c>
      <c r="BV10" s="1134"/>
      <c r="BW10" s="1754"/>
      <c r="BX10" s="1754"/>
    </row>
    <row customHeight="1" ht="11.25">
      <c r="A11" s="1138" t="s">
        <v>1421</v>
      </c>
      <c r="B11" s="1139">
        <v>2009</v>
      </c>
      <c r="E11" s="1140" t="s">
        <v>1422</v>
      </c>
      <c r="F11" s="1157"/>
      <c r="G11" s="1140" t="s">
        <v>1423</v>
      </c>
      <c r="H11" s="1140" t="s">
        <v>1424</v>
      </c>
      <c r="I11" s="1140" t="s">
        <v>150</v>
      </c>
      <c r="J11" s="1141" t="s">
        <v>1425</v>
      </c>
      <c r="K11" s="1163" t="s">
        <v>1426</v>
      </c>
      <c r="O11" s="1141" t="s">
        <v>1427</v>
      </c>
      <c r="V11" s="434" t="s">
        <v>150</v>
      </c>
      <c r="W11" s="339"/>
      <c r="X11" s="1148" t="s">
        <v>1397</v>
      </c>
      <c r="Y11" s="1139" t="s">
        <v>1428</v>
      </c>
      <c r="Z11" s="1155"/>
      <c r="AP11" s="1151" t="s">
        <v>191</v>
      </c>
      <c r="AQ11" s="1153" t="s">
        <v>191</v>
      </c>
      <c r="AW11" s="1184" t="s">
        <v>1429</v>
      </c>
      <c r="AX11" s="1184" t="s">
        <v>1429</v>
      </c>
      <c r="AZ11" s="1184" t="s">
        <v>1430</v>
      </c>
      <c r="BB11" s="1184" t="s">
        <v>1431</v>
      </c>
      <c r="BC11" s="1184" t="s">
        <v>1332</v>
      </c>
      <c r="BE11" s="1184">
        <v>2009</v>
      </c>
      <c r="BF11" s="1184" t="s">
        <v>1432</v>
      </c>
      <c r="BH11" s="1132" t="s">
        <v>1433</v>
      </c>
      <c r="BJ11" s="1132" t="s">
        <v>1402</v>
      </c>
      <c r="BL11" s="1132" t="s">
        <v>1402</v>
      </c>
      <c r="BN11" s="1132" t="s">
        <v>1434</v>
      </c>
      <c r="BQ11" s="1345">
        <v>4213780</v>
      </c>
      <c r="BR11" s="1132" t="s">
        <v>185</v>
      </c>
      <c r="BS11" s="1493"/>
      <c r="BW11" s="1754"/>
      <c r="BX11" s="1754"/>
    </row>
    <row customHeight="1" ht="11.25">
      <c r="A12" s="1138" t="s">
        <v>1435</v>
      </c>
      <c r="B12" s="1139">
        <v>2010</v>
      </c>
      <c r="E12" s="1140" t="s">
        <v>1436</v>
      </c>
      <c r="F12" s="1157"/>
      <c r="G12" s="1140" t="s">
        <v>1424</v>
      </c>
      <c r="I12" s="1140" t="s">
        <v>151</v>
      </c>
      <c r="J12" s="1141" t="s">
        <v>1437</v>
      </c>
      <c r="K12" s="1163" t="s">
        <v>1438</v>
      </c>
      <c r="O12" s="1141" t="s">
        <v>1224</v>
      </c>
      <c r="V12" s="434" t="s">
        <v>151</v>
      </c>
      <c r="W12" s="1153"/>
      <c r="X12" s="1148" t="s">
        <v>1439</v>
      </c>
      <c r="Y12" s="1139" t="s">
        <v>1230</v>
      </c>
      <c r="AP12" s="1151"/>
      <c r="AW12" s="1184" t="s">
        <v>150</v>
      </c>
      <c r="AX12" s="1184" t="s">
        <v>150</v>
      </c>
      <c r="AZ12" s="1184" t="s">
        <v>1440</v>
      </c>
      <c r="BB12" s="1184" t="s">
        <v>1441</v>
      </c>
      <c r="BC12" s="1184" t="s">
        <v>1332</v>
      </c>
      <c r="BE12" s="1184">
        <v>2010</v>
      </c>
      <c r="BF12" s="1184" t="s">
        <v>1442</v>
      </c>
      <c r="BH12" s="1132" t="s">
        <v>1443</v>
      </c>
      <c r="BJ12" s="1132" t="s">
        <v>1444</v>
      </c>
      <c r="BL12" s="1132" t="s">
        <v>1444</v>
      </c>
      <c r="BN12" s="1132" t="s">
        <v>1445</v>
      </c>
      <c r="BQ12" s="1345">
        <v>4213779</v>
      </c>
      <c r="BR12" s="1132" t="s">
        <v>1397</v>
      </c>
      <c r="BS12" s="1493"/>
      <c r="BT12" s="1134"/>
      <c r="BU12" s="1134"/>
      <c r="BV12" s="1134"/>
      <c r="BW12" s="1754"/>
      <c r="BX12" s="1754"/>
    </row>
    <row customHeight="1" ht="11.25">
      <c r="A13" s="1138" t="s">
        <v>1446</v>
      </c>
      <c r="B13" s="1139">
        <v>2011</v>
      </c>
      <c r="E13" s="1140" t="s">
        <v>1447</v>
      </c>
      <c r="F13" s="1157"/>
      <c r="I13" s="1140" t="s">
        <v>152</v>
      </c>
      <c r="K13" s="1163" t="s">
        <v>1396</v>
      </c>
      <c r="V13" s="434" t="s">
        <v>152</v>
      </c>
      <c r="W13" s="1153"/>
      <c r="X13" s="1153"/>
      <c r="Y13" s="1153"/>
      <c r="AW13" s="1184" t="s">
        <v>151</v>
      </c>
      <c r="AX13" s="1184" t="s">
        <v>151</v>
      </c>
      <c r="BB13" s="1184" t="s">
        <v>1448</v>
      </c>
      <c r="BC13" s="1184" t="s">
        <v>1449</v>
      </c>
      <c r="BE13" s="1184">
        <v>2011</v>
      </c>
      <c r="BF13" s="1184" t="s">
        <v>1450</v>
      </c>
      <c r="BH13" s="1132" t="s">
        <v>1451</v>
      </c>
      <c r="BJ13" s="1132" t="s">
        <v>1433</v>
      </c>
      <c r="BL13" s="1132" t="s">
        <v>1433</v>
      </c>
      <c r="BN13" s="1132" t="s">
        <v>1452</v>
      </c>
      <c r="BQ13" s="1345">
        <v>4213783</v>
      </c>
      <c r="BR13" s="1132" t="s">
        <v>1412</v>
      </c>
      <c r="BS13" s="1493"/>
      <c r="BT13" s="1134"/>
      <c r="BU13" s="1134"/>
      <c r="BV13" s="1134"/>
      <c r="BW13" s="1758"/>
      <c r="BX13" s="1754"/>
    </row>
    <row customHeight="1" ht="11.25">
      <c r="A14" s="1138" t="s">
        <v>1453</v>
      </c>
      <c r="B14" s="1139">
        <v>2012</v>
      </c>
      <c r="I14" s="1140" t="s">
        <v>153</v>
      </c>
      <c r="J14" s="1131" t="s">
        <v>1454</v>
      </c>
      <c r="N14" s="1131" t="s">
        <v>1455</v>
      </c>
      <c r="V14" s="1147">
        <v>13</v>
      </c>
      <c r="W14" s="1148"/>
      <c r="X14" s="1148" t="s">
        <v>1264</v>
      </c>
      <c r="Y14" s="1139" t="s">
        <v>1230</v>
      </c>
      <c r="AW14" s="1184" t="s">
        <v>152</v>
      </c>
      <c r="AX14" s="1184" t="s">
        <v>152</v>
      </c>
      <c r="AZ14" s="1131" t="s">
        <v>1456</v>
      </c>
      <c r="BB14" s="1184" t="s">
        <v>1457</v>
      </c>
      <c r="BC14" s="1184" t="s">
        <v>1449</v>
      </c>
      <c r="BE14" s="1184">
        <v>2012</v>
      </c>
      <c r="BH14" s="1132" t="s">
        <v>1372</v>
      </c>
      <c r="BJ14" s="1281" t="s">
        <v>1458</v>
      </c>
      <c r="BL14" s="1281" t="s">
        <v>1458</v>
      </c>
      <c r="BN14" s="1132" t="s">
        <v>1459</v>
      </c>
      <c r="BQ14" s="1345">
        <v>4213782</v>
      </c>
      <c r="BR14" s="1132" t="s">
        <v>191</v>
      </c>
      <c r="BS14" s="1493"/>
      <c r="BT14" s="1134"/>
      <c r="BU14" s="1134"/>
      <c r="BV14" s="1134"/>
      <c r="BW14" s="1758"/>
      <c r="BX14" s="1754"/>
    </row>
    <row customHeight="1" ht="19.5">
      <c r="A15" s="1138" t="s">
        <v>1460</v>
      </c>
      <c r="B15" s="1139">
        <v>2013</v>
      </c>
      <c r="E15" s="1762" t="s">
        <v>1461</v>
      </c>
      <c r="G15" s="1131" t="s">
        <v>1462</v>
      </c>
      <c r="H15" s="1131" t="s">
        <v>1463</v>
      </c>
      <c r="I15" s="1142" t="s">
        <v>154</v>
      </c>
      <c r="J15" s="1153" t="s">
        <v>587</v>
      </c>
      <c r="N15" s="1222" t="s">
        <v>1464</v>
      </c>
      <c r="X15" s="1151"/>
      <c r="AW15" s="1184" t="s">
        <v>153</v>
      </c>
      <c r="AX15" s="1184" t="s">
        <v>153</v>
      </c>
      <c r="AZ15" s="1184" t="s">
        <v>1383</v>
      </c>
      <c r="BB15" s="1184" t="s">
        <v>1465</v>
      </c>
      <c r="BC15" s="1184" t="s">
        <v>1449</v>
      </c>
      <c r="BE15" s="1184">
        <v>2013</v>
      </c>
      <c r="BH15" s="1132" t="s">
        <v>1388</v>
      </c>
      <c r="BJ15" s="1281" t="s">
        <v>1466</v>
      </c>
      <c r="BL15" s="1281" t="s">
        <v>1466</v>
      </c>
      <c r="BN15" s="1132" t="s">
        <v>1467</v>
      </c>
      <c r="BR15" s="1134"/>
      <c r="BS15" s="1495"/>
      <c r="BT15" s="1134"/>
      <c r="BU15" s="1134"/>
      <c r="BV15" s="1134"/>
      <c r="BW15" s="1758"/>
      <c r="BX15" s="1754"/>
    </row>
    <row customHeight="1" ht="21">
      <c r="A16" s="1934" t="s">
        <v>1468</v>
      </c>
      <c r="B16" s="1139">
        <v>2014</v>
      </c>
      <c r="E16" s="1763" t="s">
        <v>1469</v>
      </c>
      <c r="G16" s="1140" t="s">
        <v>1470</v>
      </c>
      <c r="H16" s="1140" t="s">
        <v>1471</v>
      </c>
      <c r="I16" s="1142" t="s">
        <v>1472</v>
      </c>
      <c r="J16" s="1153" t="s">
        <v>560</v>
      </c>
      <c r="N16" s="1222" t="s">
        <v>1473</v>
      </c>
      <c r="AW16" s="1184" t="s">
        <v>154</v>
      </c>
      <c r="AX16" s="1184" t="s">
        <v>154</v>
      </c>
      <c r="AZ16" s="1184" t="s">
        <v>1399</v>
      </c>
      <c r="BB16" s="1184" t="s">
        <v>1474</v>
      </c>
      <c r="BC16" s="1184" t="s">
        <v>1449</v>
      </c>
      <c r="BE16" s="1184">
        <v>2014</v>
      </c>
      <c r="BH16" s="1132" t="s">
        <v>1404</v>
      </c>
      <c r="BJ16" s="1281" t="s">
        <v>1475</v>
      </c>
      <c r="BL16" s="1281" t="s">
        <v>1475</v>
      </c>
      <c r="BN16" s="1132" t="s">
        <v>1476</v>
      </c>
      <c r="BR16" s="1134"/>
      <c r="BS16" s="1495"/>
      <c r="BT16" s="1134"/>
      <c r="BU16" s="1134"/>
      <c r="BV16" s="1134"/>
      <c r="BW16" s="1758"/>
      <c r="BX16" s="1754"/>
    </row>
    <row customHeight="1" ht="21">
      <c r="A17" s="1138" t="s">
        <v>1477</v>
      </c>
      <c r="B17" s="1139">
        <v>2015</v>
      </c>
      <c r="G17" s="1140" t="s">
        <v>1424</v>
      </c>
      <c r="H17" s="1140" t="s">
        <v>1424</v>
      </c>
      <c r="I17" s="1140" t="s">
        <v>1478</v>
      </c>
      <c r="N17" s="1222" t="s">
        <v>1479</v>
      </c>
      <c r="X17" s="1151"/>
      <c r="AW17" s="1184" t="s">
        <v>1472</v>
      </c>
      <c r="AX17" s="1184" t="s">
        <v>1472</v>
      </c>
      <c r="AZ17" s="1184" t="s">
        <v>1480</v>
      </c>
      <c r="BB17" s="1184" t="s">
        <v>1481</v>
      </c>
      <c r="BC17" s="1184" t="s">
        <v>1332</v>
      </c>
      <c r="BE17" s="1184">
        <v>2015</v>
      </c>
      <c r="BH17" s="1132" t="s">
        <v>1420</v>
      </c>
      <c r="BJ17" s="1281" t="s">
        <v>1482</v>
      </c>
      <c r="BL17" s="1281" t="s">
        <v>1482</v>
      </c>
      <c r="BN17" s="1132" t="s">
        <v>1483</v>
      </c>
      <c r="BR17" s="1131" t="s">
        <v>1275</v>
      </c>
      <c r="BS17" s="1492"/>
      <c r="BU17" s="1131" t="s">
        <v>1484</v>
      </c>
      <c r="BV17" s="1134"/>
      <c r="BW17" s="1754"/>
      <c r="BX17" s="1756" t="s">
        <v>1485</v>
      </c>
      <c r="CA17" s="1131" t="s">
        <v>1486</v>
      </c>
      <c r="CD17" s="1131" t="s">
        <v>1487</v>
      </c>
    </row>
    <row customHeight="1" ht="21">
      <c r="A18" s="1138" t="s">
        <v>1488</v>
      </c>
      <c r="B18" s="1139">
        <v>2016</v>
      </c>
      <c r="E18" s="2069" t="s">
        <v>1489</v>
      </c>
      <c r="I18" s="1140" t="s">
        <v>1490</v>
      </c>
      <c r="N18" s="1222" t="s">
        <v>1491</v>
      </c>
      <c r="X18" s="1151"/>
      <c r="AW18" s="1184" t="s">
        <v>1478</v>
      </c>
      <c r="AX18" s="1184" t="s">
        <v>1478</v>
      </c>
      <c r="BB18" s="1184" t="s">
        <v>1492</v>
      </c>
      <c r="BC18" s="1184" t="s">
        <v>1332</v>
      </c>
      <c r="BE18" s="1184">
        <v>2016</v>
      </c>
      <c r="BH18" s="1132" t="s">
        <v>1434</v>
      </c>
      <c r="BJ18" s="1281" t="s">
        <v>1493</v>
      </c>
      <c r="BL18" s="1281" t="s">
        <v>1493</v>
      </c>
      <c r="BN18" s="1132" t="s">
        <v>1494</v>
      </c>
      <c r="BQ18" s="1496" t="s">
        <v>1305</v>
      </c>
      <c r="BR18" s="1223" t="s">
        <v>1306</v>
      </c>
      <c r="BS18" s="338"/>
      <c r="BT18" s="1496" t="s">
        <v>1495</v>
      </c>
      <c r="BU18" s="1223" t="s">
        <v>1496</v>
      </c>
      <c r="BV18" s="1134"/>
      <c r="BW18" s="1761" t="s">
        <v>1497</v>
      </c>
      <c r="BX18" s="1755" t="s">
        <v>1498</v>
      </c>
      <c r="BZ18" s="1496" t="s">
        <v>1499</v>
      </c>
      <c r="CA18" s="1223" t="s">
        <v>1500</v>
      </c>
      <c r="CC18" s="1496" t="s">
        <v>1501</v>
      </c>
      <c r="CD18" s="1223" t="s">
        <v>1502</v>
      </c>
    </row>
    <row customHeight="1" ht="21">
      <c r="A19" s="1934" t="s">
        <v>1503</v>
      </c>
      <c r="B19" s="1139">
        <v>2017</v>
      </c>
      <c r="E19" s="1138" t="s">
        <v>166</v>
      </c>
      <c r="I19" s="1140" t="s">
        <v>1504</v>
      </c>
      <c r="N19" s="1222" t="s">
        <v>1505</v>
      </c>
      <c r="X19" s="1151"/>
      <c r="AW19" s="1184" t="s">
        <v>1490</v>
      </c>
      <c r="AX19" s="1184" t="s">
        <v>1490</v>
      </c>
      <c r="AZ19" s="1131" t="s">
        <v>1506</v>
      </c>
      <c r="BB19" s="1184" t="s">
        <v>1507</v>
      </c>
      <c r="BC19" s="1184" t="s">
        <v>1332</v>
      </c>
      <c r="BE19" s="1184">
        <v>2017</v>
      </c>
      <c r="BH19" s="1132" t="s">
        <v>1508</v>
      </c>
      <c r="BJ19" s="1281" t="s">
        <v>1509</v>
      </c>
      <c r="BL19" s="1281" t="s">
        <v>1509</v>
      </c>
      <c r="BQ19" s="1345">
        <v>4190064</v>
      </c>
      <c r="BR19" s="1132" t="s">
        <v>1510</v>
      </c>
      <c r="BS19" s="1493"/>
      <c r="BT19" s="1345">
        <v>4189671</v>
      </c>
      <c r="BU19" s="1132" t="s">
        <v>1511</v>
      </c>
      <c r="BV19" s="1134"/>
      <c r="BW19" s="1759">
        <v>4189706</v>
      </c>
      <c r="BX19" s="1757" t="s">
        <v>1512</v>
      </c>
      <c r="BZ19" s="1345">
        <v>4189714</v>
      </c>
      <c r="CA19" s="1132" t="s">
        <v>1513</v>
      </c>
      <c r="CC19" s="1345">
        <v>4189708</v>
      </c>
      <c r="CD19" s="1132" t="s">
        <v>1514</v>
      </c>
    </row>
    <row customHeight="1" ht="21">
      <c r="A20" s="1138" t="s">
        <v>1515</v>
      </c>
      <c r="B20" s="1139">
        <v>2018</v>
      </c>
      <c r="E20" s="1138" t="s">
        <v>1264</v>
      </c>
      <c r="I20" s="1140" t="s">
        <v>1516</v>
      </c>
      <c r="N20" s="1222" t="s">
        <v>1517</v>
      </c>
      <c r="AW20" s="1184" t="s">
        <v>1504</v>
      </c>
      <c r="AX20" s="1184" t="s">
        <v>1504</v>
      </c>
      <c r="AZ20" s="1184" t="s">
        <v>1518</v>
      </c>
      <c r="BB20" s="1184" t="s">
        <v>1519</v>
      </c>
      <c r="BC20" s="1184" t="s">
        <v>1449</v>
      </c>
      <c r="BE20" s="1184">
        <v>2018</v>
      </c>
      <c r="BH20" s="1132" t="s">
        <v>1445</v>
      </c>
      <c r="BJ20" s="1132" t="s">
        <v>1372</v>
      </c>
      <c r="BL20" s="1132" t="s">
        <v>1372</v>
      </c>
      <c r="BQ20" s="1345">
        <v>4190065</v>
      </c>
      <c r="BR20" s="1132" t="s">
        <v>1520</v>
      </c>
      <c r="BS20" s="1493"/>
      <c r="BT20" s="1345">
        <v>4189672</v>
      </c>
      <c r="BU20" s="1132" t="s">
        <v>1521</v>
      </c>
      <c r="BV20" s="1134"/>
      <c r="BW20" s="1759">
        <v>4189705</v>
      </c>
      <c r="BX20" s="1757" t="s">
        <v>1522</v>
      </c>
      <c r="BZ20" s="1345">
        <v>4189713</v>
      </c>
      <c r="CA20" s="1132" t="s">
        <v>1522</v>
      </c>
      <c r="CC20" s="1345">
        <v>4189709</v>
      </c>
      <c r="CD20" s="1132" t="s">
        <v>1523</v>
      </c>
    </row>
    <row customHeight="1" ht="21">
      <c r="A21" s="1138" t="s">
        <v>1524</v>
      </c>
      <c r="B21" s="1139">
        <v>2019</v>
      </c>
      <c r="I21" s="1140" t="s">
        <v>1525</v>
      </c>
      <c r="N21" s="1222" t="s">
        <v>1526</v>
      </c>
      <c r="AW21" s="1184" t="s">
        <v>1516</v>
      </c>
      <c r="AX21" s="1184" t="s">
        <v>1516</v>
      </c>
      <c r="AZ21" s="1184" t="s">
        <v>1527</v>
      </c>
      <c r="BB21" s="1184" t="s">
        <v>1528</v>
      </c>
      <c r="BC21" s="1184" t="s">
        <v>1332</v>
      </c>
      <c r="BE21" s="1184">
        <v>2019</v>
      </c>
      <c r="BH21" s="1132" t="s">
        <v>1452</v>
      </c>
      <c r="BJ21" s="1132" t="s">
        <v>1388</v>
      </c>
      <c r="BL21" s="1132" t="s">
        <v>1388</v>
      </c>
      <c r="BQ21" s="1345">
        <v>4190066</v>
      </c>
      <c r="BR21" s="1132" t="s">
        <v>1529</v>
      </c>
      <c r="BS21" s="1493"/>
      <c r="BT21" s="1345">
        <v>4189673</v>
      </c>
      <c r="BU21" s="1132" t="s">
        <v>1530</v>
      </c>
      <c r="BV21" s="1134"/>
      <c r="BW21" s="1759">
        <v>4189707</v>
      </c>
      <c r="BX21" s="1757" t="s">
        <v>1531</v>
      </c>
      <c r="BZ21" s="1345">
        <v>4189712</v>
      </c>
      <c r="CA21" s="1132" t="s">
        <v>1532</v>
      </c>
      <c r="CC21" s="1345">
        <v>4189710</v>
      </c>
      <c r="CD21" s="1132" t="s">
        <v>1533</v>
      </c>
    </row>
    <row customHeight="1" ht="21">
      <c r="A22" s="1138" t="s">
        <v>1534</v>
      </c>
      <c r="B22" s="1139">
        <v>2020</v>
      </c>
      <c r="N22" s="1222" t="s">
        <v>1535</v>
      </c>
      <c r="AW22" s="1184" t="s">
        <v>1525</v>
      </c>
      <c r="AX22" s="1184" t="s">
        <v>1525</v>
      </c>
      <c r="AZ22" s="1184" t="s">
        <v>1536</v>
      </c>
      <c r="BB22" s="1184" t="s">
        <v>1537</v>
      </c>
      <c r="BC22" s="1184" t="s">
        <v>1332</v>
      </c>
      <c r="BE22" s="1184">
        <v>2020</v>
      </c>
      <c r="BH22" s="1132" t="s">
        <v>1459</v>
      </c>
      <c r="BJ22" s="1132" t="s">
        <v>1404</v>
      </c>
      <c r="BL22" s="1132" t="s">
        <v>1404</v>
      </c>
      <c r="BQ22" s="1345">
        <v>4190067</v>
      </c>
      <c r="BR22" s="1132" t="s">
        <v>1538</v>
      </c>
      <c r="BS22" s="1493"/>
      <c r="BT22" s="1345">
        <v>4189674</v>
      </c>
      <c r="BU22" s="1132" t="s">
        <v>1539</v>
      </c>
      <c r="BV22" s="1134"/>
      <c r="BW22" s="1134"/>
      <c r="CC22" s="1345">
        <v>4189711</v>
      </c>
      <c r="CD22" s="1132" t="s">
        <v>297</v>
      </c>
    </row>
    <row customHeight="1" ht="21">
      <c r="A23" s="1138" t="s">
        <v>1540</v>
      </c>
      <c r="B23" s="1139">
        <v>2021</v>
      </c>
      <c r="AW23" s="1184" t="s">
        <v>1541</v>
      </c>
      <c r="AX23" s="1184" t="s">
        <v>1541</v>
      </c>
      <c r="AZ23" s="1184" t="s">
        <v>1542</v>
      </c>
      <c r="BB23" s="1184" t="s">
        <v>1543</v>
      </c>
      <c r="BC23" s="1184" t="s">
        <v>1241</v>
      </c>
      <c r="BE23" s="1184">
        <v>2021</v>
      </c>
      <c r="BH23" s="1132" t="s">
        <v>1467</v>
      </c>
      <c r="BJ23" s="1132" t="s">
        <v>1420</v>
      </c>
      <c r="BL23" s="1132" t="s">
        <v>1420</v>
      </c>
      <c r="BQ23" s="1345">
        <v>4190068</v>
      </c>
      <c r="BR23" s="1132" t="s">
        <v>1544</v>
      </c>
      <c r="BS23" s="1493"/>
      <c r="BT23" s="1345">
        <v>4189675</v>
      </c>
      <c r="BU23" s="1132" t="s">
        <v>1545</v>
      </c>
      <c r="BV23" s="1134"/>
      <c r="BW23" s="1134"/>
      <c r="CC23" s="1345">
        <v>5110778</v>
      </c>
      <c r="CD23" s="1132" t="s">
        <v>1546</v>
      </c>
    </row>
    <row customHeight="1" ht="21">
      <c r="A24" s="1138" t="s">
        <v>1547</v>
      </c>
      <c r="B24" s="1139">
        <v>2022</v>
      </c>
      <c r="AW24" s="1184" t="s">
        <v>100</v>
      </c>
      <c r="AX24" s="1184" t="s">
        <v>100</v>
      </c>
      <c r="AZ24" s="1184" t="s">
        <v>1548</v>
      </c>
      <c r="BB24" s="1184" t="s">
        <v>1549</v>
      </c>
      <c r="BC24" s="1184" t="s">
        <v>1550</v>
      </c>
      <c r="BE24" s="1184">
        <v>2022</v>
      </c>
      <c r="BH24" s="1132" t="s">
        <v>1476</v>
      </c>
      <c r="BJ24" s="1132" t="s">
        <v>1434</v>
      </c>
      <c r="BL24" s="1132" t="s">
        <v>1434</v>
      </c>
      <c r="BQ24" s="1345">
        <v>4190069</v>
      </c>
      <c r="BR24" s="1132" t="s">
        <v>1551</v>
      </c>
      <c r="BS24" s="1493"/>
      <c r="BT24" s="1345">
        <v>4189676</v>
      </c>
      <c r="BU24" s="1132" t="s">
        <v>1552</v>
      </c>
      <c r="BV24" s="1134"/>
      <c r="BW24" s="1134"/>
      <c r="CC24" s="1345">
        <v>25575374</v>
      </c>
      <c r="CD24" s="1132" t="s">
        <v>1553</v>
      </c>
    </row>
    <row customHeight="1" ht="11.25">
      <c r="A25" s="1138" t="s">
        <v>1554</v>
      </c>
      <c r="B25" s="1139">
        <v>2023</v>
      </c>
      <c r="AW25" s="1184" t="s">
        <v>1555</v>
      </c>
      <c r="AX25" s="1184" t="s">
        <v>1555</v>
      </c>
      <c r="AZ25" s="1184" t="s">
        <v>1556</v>
      </c>
      <c r="BB25" s="1184" t="s">
        <v>1557</v>
      </c>
      <c r="BC25" s="1184" t="s">
        <v>1550</v>
      </c>
      <c r="BE25" s="1184">
        <v>2023</v>
      </c>
      <c r="BH25" s="1132" t="s">
        <v>1483</v>
      </c>
      <c r="BJ25" s="1132" t="s">
        <v>1508</v>
      </c>
      <c r="BL25" s="1132" t="s">
        <v>1508</v>
      </c>
      <c r="BQ25" s="1345">
        <v>4190070</v>
      </c>
      <c r="BR25" s="1132" t="s">
        <v>1558</v>
      </c>
      <c r="BS25" s="1493"/>
      <c r="BT25" s="1345">
        <v>4189677</v>
      </c>
      <c r="BU25" s="1132" t="s">
        <v>1559</v>
      </c>
      <c r="BV25" s="1134"/>
      <c r="BW25" s="1134"/>
    </row>
    <row customHeight="1" ht="11.25">
      <c r="A26" s="1138" t="s">
        <v>1560</v>
      </c>
      <c r="B26" s="1139">
        <v>2024</v>
      </c>
      <c r="J26" s="1795" t="s">
        <v>1561</v>
      </c>
      <c r="AX26" s="1184" t="s">
        <v>1562</v>
      </c>
      <c r="AZ26" s="1184" t="s">
        <v>1427</v>
      </c>
      <c r="BB26" s="1184" t="s">
        <v>1563</v>
      </c>
      <c r="BC26" s="1184" t="s">
        <v>1550</v>
      </c>
      <c r="BE26" s="1184">
        <v>2024</v>
      </c>
      <c r="BH26" s="1132" t="s">
        <v>1494</v>
      </c>
      <c r="BJ26" s="1132" t="s">
        <v>1445</v>
      </c>
      <c r="BL26" s="1132" t="s">
        <v>1445</v>
      </c>
      <c r="BQ26" s="1345">
        <v>4190071</v>
      </c>
      <c r="BR26" s="1132" t="s">
        <v>1564</v>
      </c>
      <c r="BS26" s="1493"/>
      <c r="BV26" s="1134"/>
      <c r="BW26" s="1134"/>
    </row>
    <row customHeight="1" ht="11.25">
      <c r="A27" s="1138" t="s">
        <v>1565</v>
      </c>
      <c r="B27" s="1139">
        <v>2025</v>
      </c>
      <c r="J27" s="240" t="s">
        <v>533</v>
      </c>
      <c r="AX27" s="1184" t="s">
        <v>1566</v>
      </c>
      <c r="BB27" s="1184" t="s">
        <v>1567</v>
      </c>
      <c r="BC27" s="1184" t="s">
        <v>1550</v>
      </c>
      <c r="BE27" s="1184">
        <v>2025</v>
      </c>
      <c r="BH27" s="1134" t="s">
        <v>28</v>
      </c>
      <c r="BJ27" s="1132" t="s">
        <v>1452</v>
      </c>
      <c r="BL27" s="1132" t="s">
        <v>1452</v>
      </c>
      <c r="BN27" s="1134" t="s">
        <v>28</v>
      </c>
      <c r="BQ27" s="1345">
        <v>4190072</v>
      </c>
      <c r="BR27" s="1132" t="s">
        <v>1568</v>
      </c>
      <c r="BS27" s="1493"/>
      <c r="BV27" s="1134"/>
      <c r="BW27" s="1134"/>
    </row>
    <row customHeight="1" ht="11.25">
      <c r="A28" s="1138" t="s">
        <v>1569</v>
      </c>
      <c r="D28" s="1165"/>
      <c r="E28" s="1166"/>
      <c r="F28" s="1166"/>
      <c r="H28" s="1167" t="s">
        <v>1570</v>
      </c>
      <c r="AX28" s="1184" t="s">
        <v>1571</v>
      </c>
      <c r="AZ28" s="1131" t="s">
        <v>1572</v>
      </c>
      <c r="BB28" s="1184" t="s">
        <v>1573</v>
      </c>
      <c r="BC28" s="1184" t="s">
        <v>1574</v>
      </c>
      <c r="BE28" s="1184">
        <v>2026</v>
      </c>
      <c r="BH28" s="1134" t="s">
        <v>28</v>
      </c>
      <c r="BJ28" s="1132" t="s">
        <v>1459</v>
      </c>
      <c r="BL28" s="1132" t="s">
        <v>1459</v>
      </c>
      <c r="BN28" s="1134" t="s">
        <v>28</v>
      </c>
      <c r="BQ28" s="1345">
        <v>4190073</v>
      </c>
      <c r="BR28" s="1132" t="s">
        <v>1575</v>
      </c>
      <c r="BS28" s="1493"/>
      <c r="BV28" s="1134"/>
      <c r="BW28" s="1134"/>
    </row>
    <row customHeight="1" ht="11.25">
      <c r="A29" s="1138" t="s">
        <v>1576</v>
      </c>
      <c r="D29" s="1168" t="s">
        <v>1577</v>
      </c>
      <c r="E29" s="1169" t="str">
        <f>IF(TEMPLATE_GROUP="","",INDEX(StartDateList,MATCH(TEMPLATE_GROUP,CodeTemplateList,0),1))</f>
        <v>01.01.2024</v>
      </c>
      <c r="F29" s="1169" t="str">
        <f>IF(TEMPLATE_GROUP="","",INDEX(EndDateList,MATCH(TEMPLATE_GROUP,CodeTemplateList,0),1))</f>
        <v>31.12.2028</v>
      </c>
      <c r="H29" s="1170" t="s">
        <v>1578</v>
      </c>
      <c r="AX29" s="1184" t="s">
        <v>1579</v>
      </c>
      <c r="AZ29" s="1184" t="s">
        <v>1225</v>
      </c>
      <c r="BB29" s="1184" t="s">
        <v>1427</v>
      </c>
      <c r="BC29" s="1155"/>
      <c r="BE29" s="1184">
        <v>2027</v>
      </c>
      <c r="BJ29" s="1132" t="s">
        <v>1467</v>
      </c>
      <c r="BL29" s="1132" t="s">
        <v>1467</v>
      </c>
    </row>
    <row customHeight="1" ht="11.25">
      <c r="A30" s="1138" t="s">
        <v>1580</v>
      </c>
      <c r="D30" s="1171"/>
      <c r="E30" s="1172"/>
      <c r="F30" s="1172"/>
      <c r="AX30" s="1184" t="s">
        <v>1581</v>
      </c>
      <c r="AZ30" s="1184" t="s">
        <v>1253</v>
      </c>
      <c r="BE30" s="1184">
        <v>2028</v>
      </c>
      <c r="BJ30" s="1132" t="s">
        <v>1582</v>
      </c>
      <c r="BL30" s="1132" t="s">
        <v>1582</v>
      </c>
    </row>
    <row customHeight="1" ht="12.75">
      <c r="A31" s="1138" t="s">
        <v>1583</v>
      </c>
      <c r="D31" s="1165"/>
      <c r="E31" s="1166"/>
      <c r="F31" s="1166"/>
      <c r="H31" s="1173"/>
      <c r="AX31" s="1184" t="s">
        <v>1584</v>
      </c>
      <c r="AZ31" s="1184" t="s">
        <v>546</v>
      </c>
      <c r="BE31" s="1184">
        <v>2029</v>
      </c>
      <c r="BJ31" s="1132" t="s">
        <v>1585</v>
      </c>
      <c r="BL31" s="1132" t="s">
        <v>1585</v>
      </c>
    </row>
    <row customHeight="1" ht="11.25">
      <c r="A32" s="1138" t="s">
        <v>1586</v>
      </c>
      <c r="D32" s="1168" t="s">
        <v>1587</v>
      </c>
      <c r="E32" s="1169" t="str">
        <f>IF(TEMPLATE_GROUP="","",INDEX(StartDateList,MATCH(TEMPLATE_GROUP,CodeTemplateList,0),1))</f>
        <v>01.01.2024</v>
      </c>
      <c r="F32" s="1169" t="str">
        <f>IF(TEMPLATE_GROUP="","",INDEX(EndDateList,MATCH(TEMPLATE_GROUP,CodeTemplateList,0),1))</f>
        <v>31.12.2028</v>
      </c>
      <c r="H32" s="1174" t="s">
        <v>1588</v>
      </c>
      <c r="O32" s="1138" t="s">
        <v>1223</v>
      </c>
      <c r="AX32" s="1184" t="s">
        <v>1589</v>
      </c>
      <c r="AZ32" s="1184" t="s">
        <v>545</v>
      </c>
      <c r="BE32" s="1184">
        <v>2030</v>
      </c>
      <c r="BJ32" s="1132" t="s">
        <v>1476</v>
      </c>
      <c r="BL32" s="1132" t="s">
        <v>1476</v>
      </c>
    </row>
    <row customHeight="1" ht="11.25">
      <c r="A33" s="1138" t="s">
        <v>1590</v>
      </c>
      <c r="O33" s="1138" t="s">
        <v>1250</v>
      </c>
      <c r="AX33" s="1184" t="s">
        <v>1591</v>
      </c>
      <c r="AZ33" s="1184" t="s">
        <v>1224</v>
      </c>
      <c r="BE33" s="1184">
        <v>2031</v>
      </c>
      <c r="BJ33" s="1132" t="s">
        <v>1483</v>
      </c>
      <c r="BL33" s="1132" t="s">
        <v>1483</v>
      </c>
    </row>
    <row customHeight="1" ht="11.25">
      <c r="A34" s="1138" t="s">
        <v>1592</v>
      </c>
      <c r="O34" s="1138" t="s">
        <v>1286</v>
      </c>
      <c r="AX34" s="1184" t="s">
        <v>1593</v>
      </c>
      <c r="BE34" s="1184">
        <v>2032</v>
      </c>
      <c r="BJ34" s="1132" t="s">
        <v>1494</v>
      </c>
      <c r="BL34" s="1132" t="s">
        <v>1494</v>
      </c>
    </row>
    <row customHeight="1" ht="11.25">
      <c r="A35" s="1138" t="s">
        <v>1594</v>
      </c>
      <c r="O35" s="1138" t="s">
        <v>1319</v>
      </c>
      <c r="AX35" s="1184" t="s">
        <v>1595</v>
      </c>
      <c r="AZ35" s="1131" t="s">
        <v>1596</v>
      </c>
      <c r="BE35" s="1184">
        <v>2033</v>
      </c>
      <c r="BL35" s="1132" t="s">
        <v>1597</v>
      </c>
    </row>
    <row customHeight="1" ht="11.25">
      <c r="A36" s="1934" t="s">
        <v>1598</v>
      </c>
      <c r="D36" s="1175" t="s">
        <v>1599</v>
      </c>
      <c r="E36" s="1176" t="s">
        <v>897</v>
      </c>
      <c r="F36" s="1177" t="str">
        <f>INDEX(E37:E41,MATCH(TEMPLATE_SPHERE,F37:F41,0))</f>
        <v>горячего водоснабжения</v>
      </c>
      <c r="G36" s="1177" t="str">
        <f>INDEX(G37:G41,MATCH(TEMPLATE_SPHERE,F37:F41,0))</f>
        <v>горячее водоснабжение</v>
      </c>
      <c r="O36" s="1138" t="s">
        <v>1343</v>
      </c>
      <c r="AX36" s="1184" t="s">
        <v>1600</v>
      </c>
      <c r="AZ36" s="1184" t="s">
        <v>1224</v>
      </c>
      <c r="BE36" s="1184">
        <v>2034</v>
      </c>
      <c r="BL36" s="1132" t="s">
        <v>1601</v>
      </c>
    </row>
    <row customHeight="1" ht="11.25">
      <c r="A37" s="1138" t="s">
        <v>1602</v>
      </c>
      <c r="E37" s="471" t="s">
        <v>1603</v>
      </c>
      <c r="F37" s="1178" t="s">
        <v>811</v>
      </c>
      <c r="G37" s="471" t="s">
        <v>1604</v>
      </c>
      <c r="O37" s="1138" t="s">
        <v>1362</v>
      </c>
      <c r="AX37" s="1184" t="s">
        <v>1605</v>
      </c>
      <c r="AZ37" s="1184" t="s">
        <v>1252</v>
      </c>
      <c r="BE37" s="1184">
        <v>2035</v>
      </c>
    </row>
    <row customHeight="1" ht="11.25">
      <c r="A38" s="1138" t="s">
        <v>1606</v>
      </c>
      <c r="E38" s="471" t="s">
        <v>1607</v>
      </c>
      <c r="F38" s="1179" t="s">
        <v>857</v>
      </c>
      <c r="G38" s="471" t="s">
        <v>1608</v>
      </c>
      <c r="O38" s="1138" t="s">
        <v>1379</v>
      </c>
      <c r="AX38" s="1184" t="s">
        <v>1609</v>
      </c>
      <c r="AZ38" s="1184" t="s">
        <v>1287</v>
      </c>
      <c r="BE38" s="1184">
        <v>2036</v>
      </c>
      <c r="BH38" s="1131" t="s">
        <v>1610</v>
      </c>
      <c r="BJ38" s="1131" t="s">
        <v>1611</v>
      </c>
      <c r="BL38" s="1131" t="s">
        <v>1612</v>
      </c>
      <c r="BN38" s="1131" t="s">
        <v>1613</v>
      </c>
    </row>
    <row customHeight="1" ht="11.25">
      <c r="A39" s="1138" t="s">
        <v>1614</v>
      </c>
      <c r="E39" s="471" t="s">
        <v>1615</v>
      </c>
      <c r="F39" s="1179" t="s">
        <v>910</v>
      </c>
      <c r="G39" s="471" t="s">
        <v>1616</v>
      </c>
      <c r="O39" s="1138" t="s">
        <v>1395</v>
      </c>
      <c r="AX39" s="1184" t="s">
        <v>1617</v>
      </c>
      <c r="AZ39" s="1184" t="s">
        <v>1320</v>
      </c>
      <c r="BE39" s="1184">
        <v>2037</v>
      </c>
      <c r="BH39" s="1132" t="s">
        <v>1618</v>
      </c>
      <c r="BJ39" s="1281" t="s">
        <v>1618</v>
      </c>
      <c r="BL39" s="1281" t="s">
        <v>1618</v>
      </c>
      <c r="BN39" s="1132" t="s">
        <v>1619</v>
      </c>
    </row>
    <row customHeight="1" ht="11.25">
      <c r="A40" s="1138" t="s">
        <v>16</v>
      </c>
      <c r="E40" s="471" t="s">
        <v>1620</v>
      </c>
      <c r="F40" s="1179" t="s">
        <v>897</v>
      </c>
      <c r="G40" s="471" t="s">
        <v>1621</v>
      </c>
      <c r="O40" s="1138" t="s">
        <v>1411</v>
      </c>
      <c r="AX40" s="1184" t="s">
        <v>1622</v>
      </c>
      <c r="BE40" s="1184">
        <v>2038</v>
      </c>
      <c r="BH40" s="1132" t="s">
        <v>1623</v>
      </c>
      <c r="BJ40" s="1281" t="s">
        <v>1030</v>
      </c>
      <c r="BL40" s="1281" t="s">
        <v>1030</v>
      </c>
      <c r="BN40" s="1132" t="s">
        <v>1064</v>
      </c>
    </row>
    <row customHeight="1" ht="11.25">
      <c r="A41" s="1138" t="s">
        <v>1624</v>
      </c>
      <c r="E41" s="471" t="s">
        <v>1625</v>
      </c>
      <c r="F41" s="1179" t="s">
        <v>1626</v>
      </c>
      <c r="G41" s="471" t="s">
        <v>1625</v>
      </c>
      <c r="O41" s="1138" t="s">
        <v>1427</v>
      </c>
      <c r="AX41" s="1184" t="s">
        <v>1627</v>
      </c>
      <c r="AZ41" s="1131" t="s">
        <v>1628</v>
      </c>
      <c r="BE41" s="1184">
        <v>2039</v>
      </c>
      <c r="BH41" s="1132" t="s">
        <v>1629</v>
      </c>
      <c r="BJ41" s="1281" t="s">
        <v>1026</v>
      </c>
      <c r="BL41" s="1281" t="s">
        <v>1026</v>
      </c>
      <c r="BN41" s="1132" t="s">
        <v>1051</v>
      </c>
    </row>
    <row customHeight="1" ht="11.25">
      <c r="A42" s="1138" t="s">
        <v>1630</v>
      </c>
      <c r="AX42" s="1184" t="s">
        <v>1631</v>
      </c>
      <c r="AZ42" s="1184" t="s">
        <v>1223</v>
      </c>
      <c r="BE42" s="1184">
        <v>2040</v>
      </c>
      <c r="BH42" s="1132" t="s">
        <v>1048</v>
      </c>
      <c r="BJ42" s="1281" t="s">
        <v>1028</v>
      </c>
      <c r="BL42" s="1281" t="s">
        <v>1028</v>
      </c>
      <c r="BN42" s="1132" t="s">
        <v>1632</v>
      </c>
    </row>
    <row customHeight="1" ht="11.25">
      <c r="A43" s="1138" t="s">
        <v>1633</v>
      </c>
      <c r="AX43" s="1184" t="s">
        <v>1634</v>
      </c>
      <c r="AZ43" s="1184" t="s">
        <v>1250</v>
      </c>
      <c r="BE43" s="1184">
        <v>2041</v>
      </c>
      <c r="BH43" s="1132" t="s">
        <v>1635</v>
      </c>
      <c r="BJ43" s="1281" t="s">
        <v>1629</v>
      </c>
      <c r="BL43" s="1281" t="s">
        <v>1629</v>
      </c>
      <c r="BN43" s="1132" t="s">
        <v>1636</v>
      </c>
    </row>
    <row customHeight="1" ht="11.25">
      <c r="A44" s="1138" t="s">
        <v>1637</v>
      </c>
      <c r="G44" s="1158">
        <f>YEAR(TODAY())</f>
        <v>2026</v>
      </c>
      <c r="I44" s="863" t="s">
        <v>1638</v>
      </c>
      <c r="J44" s="1153" t="s">
        <v>1639</v>
      </c>
      <c r="K44" s="1153" t="s">
        <v>1640</v>
      </c>
      <c r="AX44" s="1184" t="s">
        <v>1641</v>
      </c>
      <c r="AZ44" s="1184" t="s">
        <v>1286</v>
      </c>
      <c r="BE44" s="1184">
        <v>2042</v>
      </c>
      <c r="BH44" s="1132" t="s">
        <v>1642</v>
      </c>
      <c r="BJ44" s="1281" t="s">
        <v>1048</v>
      </c>
      <c r="BL44" s="1281" t="s">
        <v>1048</v>
      </c>
      <c r="BN44" s="1132" t="s">
        <v>1643</v>
      </c>
    </row>
    <row customHeight="1" ht="11.25">
      <c r="A45" s="1138" t="s">
        <v>1644</v>
      </c>
      <c r="D45" s="1175" t="s">
        <v>1645</v>
      </c>
      <c r="E45" s="1176" t="s">
        <v>1646</v>
      </c>
      <c r="F45" s="861" t="s">
        <v>1647</v>
      </c>
      <c r="G45" s="860" t="s">
        <v>1648</v>
      </c>
      <c r="H45" s="863" t="s">
        <v>1649</v>
      </c>
      <c r="I45" s="1805">
        <f>INDEX(PeriodIsEmptyList,MATCH(TEMPLATE_GROUP,CodeTemplateList,0),1)</f>
        <v>0</v>
      </c>
      <c r="J45" s="1808" t="str">
        <f>INDEX(NameTemplatesInTitleList,MATCH(TEMPLATE_GROUP,CodeTemplateList,0),1)</f>
        <v>Показатели, подлежащие раскрытию в сфере горячего водоснабжения (цены и тарифы)</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1650</v>
      </c>
      <c r="AZ45" s="1184" t="s">
        <v>1319</v>
      </c>
      <c r="BE45" s="1184">
        <v>2043</v>
      </c>
      <c r="BH45" s="1132" t="s">
        <v>1651</v>
      </c>
      <c r="BJ45" s="1281" t="s">
        <v>1042</v>
      </c>
      <c r="BL45" s="1281" t="s">
        <v>1042</v>
      </c>
      <c r="BN45" s="1132" t="s">
        <v>1652</v>
      </c>
    </row>
    <row customHeight="1" ht="11.25">
      <c r="A46" s="1138" t="s">
        <v>1653</v>
      </c>
      <c r="E46" s="471" t="s">
        <v>26</v>
      </c>
      <c r="F46" s="1178" t="s">
        <v>1654</v>
      </c>
      <c r="G46" s="1180" t="str">
        <f>_xlfn.IFERROR(IF(TITLE_DATE_FIL="","01.01."&amp;CURRENT_YEAR,"01.01."&amp;YEAR(TITLE_DATE_FIL)),"01.01."&amp;CURRENT_YEAR)</f>
        <v>01.01.2026</v>
      </c>
      <c r="H46" s="1180" t="str">
        <f>_xlfn.IFERROR(IF(TITLE_DATE_FIL="","31.12."&amp;CURRENT_YEAR,"31.12."&amp;YEAR(TITLE_DATE_FIL)),"31.12."&amp;CURRENT_YEAR)</f>
        <v>31.12.2026</v>
      </c>
      <c r="I46" s="1806">
        <f>IF(TITLE_DATE_FIL="",TRUE,FALSE)</f>
        <v>1</v>
      </c>
      <c r="J46" s="1809" t="str">
        <f>"Общая информация о регулируемой организации ("&amp;TEMPLATE_SPHERE_RUS&amp;")"</f>
        <v>Общая информация о регулируемой организации (горячего водоснабжения)</v>
      </c>
      <c r="K46" s="1810"/>
      <c r="AX46" s="1184" t="s">
        <v>1655</v>
      </c>
      <c r="AZ46" s="1184" t="s">
        <v>1343</v>
      </c>
      <c r="BE46" s="1184">
        <v>2044</v>
      </c>
      <c r="BH46" s="1132" t="s">
        <v>1051</v>
      </c>
      <c r="BJ46" s="1281" t="s">
        <v>1032</v>
      </c>
      <c r="BL46" s="1281" t="s">
        <v>1032</v>
      </c>
      <c r="BN46" s="1132" t="s">
        <v>1656</v>
      </c>
    </row>
    <row customHeight="1" ht="11.25">
      <c r="A47" s="1138" t="s">
        <v>1657</v>
      </c>
      <c r="E47" s="471" t="s">
        <v>33</v>
      </c>
      <c r="F47" s="1179" t="s">
        <v>1658</v>
      </c>
      <c r="G47" s="1180" t="str">
        <f>_xlfn.IFERROR(IF(f_year="","01.01."&amp;CURRENT_YEAR,IF(LEN(f_quart)=0,"01.01."&amp;f_year,IF(f_quart="I квартал","01.01."&amp;f_year,IF(f_quart="II квартал","01.04."&amp;f_year,(IF(f_quart="III квартал","01.07."&amp;f_year,"01.10."&amp;f_year)))))),"01.01."&amp;CURRENT_YEAR)</f>
        <v>01.01.2026</v>
      </c>
      <c r="H47" s="1180" t="str">
        <f>_xlfn.IFERROR(IF(f_year="","31.12."&amp;CURRENT_YEAR,IF(LEN(f_quart)=0,"31.12."&amp;f_year,IF(f_quart="I квартал","31.03."&amp;f_year,IF(f_quart="II квартал","30.06."&amp;f_year,(IF(f_quart="III квартал","30.09."&amp;f_year,"31.12."&amp;f_year)))))),"31.12."&amp;CURRENT_YEAR)</f>
        <v>31.12.2026</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0"/>
      <c r="AX47" s="1184" t="s">
        <v>1659</v>
      </c>
      <c r="AZ47" s="1184" t="s">
        <v>1362</v>
      </c>
      <c r="BE47" s="1184">
        <v>2045</v>
      </c>
      <c r="BH47" s="1132" t="s">
        <v>1632</v>
      </c>
      <c r="BJ47" s="1281" t="s">
        <v>1034</v>
      </c>
      <c r="BL47" s="1281" t="s">
        <v>1034</v>
      </c>
      <c r="BN47" s="1132" t="s">
        <v>1660</v>
      </c>
    </row>
    <row customHeight="1" ht="11.25">
      <c r="A48" s="1138" t="s">
        <v>1661</v>
      </c>
      <c r="E48" s="471" t="s">
        <v>1662</v>
      </c>
      <c r="F48" s="1179" t="s">
        <v>1663</v>
      </c>
      <c r="G48" s="1180" t="str">
        <f>_xlfn.IFERROR(IF(f_year="","01.01."&amp;CURRENT_YEAR,"01.01."&amp;f_year),"01.01."&amp;CURRENT_YEAR)</f>
        <v>01.01.2026</v>
      </c>
      <c r="H48" s="1180" t="str">
        <f>_xlfn.IFERROR(IF(f_year="","31.12."&amp;CURRENT_YEAR,"31.12."&amp;f_year),"31.12."&amp;CURRENT_YEAR)</f>
        <v>31.12.2026</v>
      </c>
      <c r="I48" s="1806">
        <f>IF(f_year="",TRUE,FALSE)</f>
        <v>1</v>
      </c>
      <c r="J48" s="1809" t="s">
        <v>1664</v>
      </c>
      <c r="K48" s="1810"/>
      <c r="AX48" s="1184" t="s">
        <v>1665</v>
      </c>
      <c r="AZ48" s="1184" t="s">
        <v>1379</v>
      </c>
      <c r="BE48" s="1184">
        <v>2046</v>
      </c>
      <c r="BH48" s="1132" t="s">
        <v>1636</v>
      </c>
      <c r="BJ48" s="1281" t="s">
        <v>1036</v>
      </c>
      <c r="BL48" s="1281" t="s">
        <v>1036</v>
      </c>
      <c r="BN48" s="1132" t="s">
        <v>1666</v>
      </c>
    </row>
    <row customHeight="1" ht="11.25">
      <c r="A49" s="1138" t="s">
        <v>1667</v>
      </c>
      <c r="E49" s="471" t="s">
        <v>1668</v>
      </c>
      <c r="F49" s="1179" t="s">
        <v>1669</v>
      </c>
      <c r="G49" s="1180" t="str">
        <f>_xlfn.IFERROR(IF(f_year="","01.01."&amp;CURRENT_YEAR,"01.01."&amp;f_year),"01.01."&amp;CURRENT_YEAR)</f>
        <v>01.01.2026</v>
      </c>
      <c r="H49" s="1180" t="str">
        <f>_xlfn.IFERROR(IF(f_year="","31.12."&amp;CURRENT_YEAR,"31.12."&amp;f_year),"31.12."&amp;CURRENT_YEAR)</f>
        <v>31.12.2026</v>
      </c>
      <c r="I49" s="1806">
        <f>IF(f_year="",TRUE,FALSE)</f>
        <v>1</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0"/>
      <c r="AX49" s="1184" t="s">
        <v>1670</v>
      </c>
      <c r="AZ49" s="1184" t="s">
        <v>1395</v>
      </c>
      <c r="BE49" s="1184">
        <v>2047</v>
      </c>
      <c r="BH49" s="1132" t="s">
        <v>1052</v>
      </c>
      <c r="BJ49" s="1281" t="s">
        <v>1038</v>
      </c>
      <c r="BL49" s="1281" t="s">
        <v>1038</v>
      </c>
    </row>
    <row customHeight="1" ht="11.25">
      <c r="A50" s="1138" t="s">
        <v>1671</v>
      </c>
      <c r="E50" s="471" t="s">
        <v>1672</v>
      </c>
      <c r="F50" s="1179" t="s">
        <v>1022</v>
      </c>
      <c r="G50" s="1180" t="str">
        <f>_xlfn.IFERROR(IF(f_year="","01.01."&amp;CURRENT_YEAR,"01.01."&amp;f_year),"01.01."&amp;CURRENT_YEAR)</f>
        <v>01.01.2026</v>
      </c>
      <c r="H50" s="1180" t="str">
        <f>_xlfn.IFERROR(IF(f_year="","31.12."&amp;CURRENT_YEAR,"31.12."&amp;f_year),"31.12."&amp;CURRENT_YEAR)</f>
        <v>31.12.2026</v>
      </c>
      <c r="I50" s="1806">
        <f>IF(f_year="",TRUE,FALSE)</f>
        <v>1</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0"/>
      <c r="AX50" s="1184" t="s">
        <v>1673</v>
      </c>
      <c r="AZ50" s="1184" t="s">
        <v>1411</v>
      </c>
      <c r="BE50" s="1184">
        <v>2048</v>
      </c>
      <c r="BH50" s="1132" t="s">
        <v>1643</v>
      </c>
      <c r="BJ50" s="1281" t="s">
        <v>1040</v>
      </c>
      <c r="BL50" s="1281" t="s">
        <v>1040</v>
      </c>
    </row>
    <row customHeight="1" ht="11.25">
      <c r="A51" s="1138" t="s">
        <v>1674</v>
      </c>
      <c r="E51" s="471" t="s">
        <v>1675</v>
      </c>
      <c r="F51" s="1179" t="s">
        <v>1676</v>
      </c>
      <c r="G51" s="1180" t="str">
        <f>_xlfn.IFERROR(IF(TITLE_PERIOD_START="","01.01."&amp;CURRENT_YEAR,"01.01."&amp;YEAR(TITLE_PERIOD_START)),"01.01."&amp;CURRENT_YEAR)</f>
        <v>01.01.2024</v>
      </c>
      <c r="H51" s="1180" t="str">
        <f>_xlfn.IFERROR(IF(TITLE_PERIOD_END="","31.12."&amp;CURRENT_YEAR,"31.12."&amp;YEAR(TITLE_PERIOD_END)),"31.12."&amp;CURRENT_YEAR)</f>
        <v>31.12.2028</v>
      </c>
      <c r="I51" s="1807">
        <f>IF(OR(TITLE_PERIOD_START="",TITLE_PERIOD_END=""),TRUE,FALSE)</f>
        <v>0</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1677</v>
      </c>
      <c r="AZ51" s="1184" t="s">
        <v>1427</v>
      </c>
      <c r="BE51" s="1184">
        <v>2049</v>
      </c>
      <c r="BH51" s="1132" t="s">
        <v>1652</v>
      </c>
      <c r="BJ51" s="1281" t="s">
        <v>1678</v>
      </c>
      <c r="BL51" s="1281" t="s">
        <v>1678</v>
      </c>
    </row>
    <row customHeight="1" ht="11.25">
      <c r="A52" s="1138" t="s">
        <v>1679</v>
      </c>
      <c r="E52" s="471" t="s">
        <v>1680</v>
      </c>
      <c r="F52" s="1179" t="s">
        <v>1646</v>
      </c>
      <c r="G52" s="1180" t="str">
        <f>_xlfn.IFERROR(IF(TITLE_PERIOD_START="","01.01."&amp;CURRENT_YEAR,"01.01."&amp;YEAR(TITLE_PERIOD_START)),"01.01."&amp;CURRENT_YEAR)</f>
        <v>01.01.2024</v>
      </c>
      <c r="H52" s="1180" t="str">
        <f>_xlfn.IFERROR(IF(TITLE_PERIOD_END="","31.12."&amp;CURRENT_YEAR,"31.12."&amp;YEAR(TITLE_PERIOD_END)),"31.12."&amp;CURRENT_YEAR)</f>
        <v>31.12.2028</v>
      </c>
      <c r="I52" s="1807">
        <f>IF(OR(TITLE_PERIOD_START="",TITLE_PERIOD_END=""),TRUE,FALSE)</f>
        <v>0</v>
      </c>
      <c r="J52" s="180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0"/>
      <c r="AX52" s="1184" t="s">
        <v>1681</v>
      </c>
      <c r="AZ52" s="1184" t="s">
        <v>1224</v>
      </c>
      <c r="BE52" s="1184">
        <v>2050</v>
      </c>
      <c r="BH52" s="1132" t="s">
        <v>1656</v>
      </c>
      <c r="BJ52" s="1281" t="s">
        <v>1051</v>
      </c>
      <c r="BL52" s="1281" t="s">
        <v>1051</v>
      </c>
    </row>
    <row customHeight="1" ht="11.25">
      <c r="A53" s="1138" t="s">
        <v>1682</v>
      </c>
      <c r="E53" s="471" t="s">
        <v>1683</v>
      </c>
      <c r="F53" s="1179" t="s">
        <v>1683</v>
      </c>
      <c r="G53" s="1180" t="str">
        <f>_xlfn.IFERROR(IF(f_year="","01.01."&amp;CURRENT_YEAR,"01.01."&amp;f_year),"01.01."&amp;CURRENT_YEAR)</f>
        <v>01.01.2026</v>
      </c>
      <c r="H53" s="1180" t="str">
        <f>_xlfn.IFERROR(IF(f_year="","31.12."&amp;CURRENT_YEAR,"31.12."&amp;f_year),"31.12."&amp;CURRENT_YEAR)</f>
        <v>31.12.2026</v>
      </c>
      <c r="I53" s="1806">
        <f>IF(AND(f_year="",TITLE_DATE_FIL=""),TRUE,FALSE)</f>
        <v>1</v>
      </c>
      <c r="J53" s="1809" t="s">
        <v>1684</v>
      </c>
      <c r="K53" s="1810"/>
      <c r="AX53" s="1184" t="s">
        <v>1685</v>
      </c>
      <c r="BE53" s="1184">
        <v>2051</v>
      </c>
      <c r="BH53" s="1132" t="s">
        <v>1660</v>
      </c>
      <c r="BJ53" s="1281" t="s">
        <v>1632</v>
      </c>
      <c r="BL53" s="1281" t="s">
        <v>1632</v>
      </c>
    </row>
    <row customHeight="1" ht="11.25">
      <c r="A54" s="1138" t="s">
        <v>1686</v>
      </c>
      <c r="AX54" s="1184" t="s">
        <v>1687</v>
      </c>
      <c r="AZ54" s="1131" t="s">
        <v>1688</v>
      </c>
      <c r="BE54" s="1184">
        <v>2052</v>
      </c>
      <c r="BH54" s="1132" t="s">
        <v>1666</v>
      </c>
      <c r="BJ54" s="1281" t="s">
        <v>1636</v>
      </c>
      <c r="BL54" s="1281" t="s">
        <v>1636</v>
      </c>
    </row>
    <row customHeight="1" ht="11.25">
      <c r="A55" s="1138" t="s">
        <v>1689</v>
      </c>
      <c r="AX55" s="1184" t="s">
        <v>1690</v>
      </c>
      <c r="AZ55" s="1184" t="s">
        <v>1226</v>
      </c>
      <c r="BE55" s="1184">
        <v>2053</v>
      </c>
      <c r="BH55" s="1134" t="s">
        <v>28</v>
      </c>
      <c r="BJ55" s="1281" t="s">
        <v>1052</v>
      </c>
      <c r="BL55" s="1281" t="s">
        <v>1052</v>
      </c>
    </row>
    <row customHeight="1" ht="11.25">
      <c r="A56" s="1138" t="s">
        <v>1691</v>
      </c>
      <c r="D56" s="1182" t="s">
        <v>1692</v>
      </c>
      <c r="E56" s="1159" t="s">
        <v>112</v>
      </c>
      <c r="F56" s="1138" t="s">
        <v>1693</v>
      </c>
      <c r="AX56" s="1184" t="s">
        <v>1694</v>
      </c>
      <c r="AZ56" s="1184" t="s">
        <v>1254</v>
      </c>
      <c r="BE56" s="1184">
        <v>2054</v>
      </c>
      <c r="BH56" s="1134" t="s">
        <v>28</v>
      </c>
      <c r="BJ56" s="1281" t="s">
        <v>1643</v>
      </c>
      <c r="BL56" s="1281" t="s">
        <v>1643</v>
      </c>
    </row>
    <row customHeight="1" ht="11.25">
      <c r="A57" s="1138" t="s">
        <v>1695</v>
      </c>
      <c r="D57" s="1182" t="s">
        <v>1696</v>
      </c>
      <c r="E57" s="1159" t="s">
        <v>112</v>
      </c>
      <c r="F57" s="1138" t="s">
        <v>1693</v>
      </c>
      <c r="AX57" s="1184" t="s">
        <v>1697</v>
      </c>
      <c r="AZ57" s="1184" t="s">
        <v>1289</v>
      </c>
      <c r="BE57" s="1184">
        <v>2055</v>
      </c>
      <c r="BJ57" s="1281" t="s">
        <v>1652</v>
      </c>
      <c r="BL57" s="1281" t="s">
        <v>1652</v>
      </c>
    </row>
    <row customHeight="1" ht="11.25">
      <c r="A58" s="1138" t="s">
        <v>1698</v>
      </c>
      <c r="D58" s="1182" t="s">
        <v>1699</v>
      </c>
      <c r="E58" s="1159" t="s">
        <v>112</v>
      </c>
      <c r="F58" s="1138" t="s">
        <v>1693</v>
      </c>
      <c r="AX58" s="1184" t="s">
        <v>1700</v>
      </c>
      <c r="BE58" s="1184">
        <v>2056</v>
      </c>
      <c r="BJ58" s="1281" t="s">
        <v>1656</v>
      </c>
      <c r="BL58" s="1281" t="s">
        <v>1656</v>
      </c>
    </row>
    <row customHeight="1" ht="11.25">
      <c r="A59" s="1138" t="s">
        <v>1701</v>
      </c>
      <c r="D59" s="1182" t="s">
        <v>132</v>
      </c>
      <c r="E59" s="1159" t="s">
        <v>1589</v>
      </c>
      <c r="F59" s="1138" t="s">
        <v>1702</v>
      </c>
      <c r="AX59" s="1184" t="s">
        <v>1703</v>
      </c>
      <c r="AZ59" s="1131" t="s">
        <v>1704</v>
      </c>
      <c r="BE59" s="1184">
        <v>2057</v>
      </c>
      <c r="BJ59" s="1281" t="s">
        <v>1660</v>
      </c>
      <c r="BL59" s="1281" t="s">
        <v>1660</v>
      </c>
    </row>
    <row customHeight="1" ht="11.25">
      <c r="A60" s="1138" t="s">
        <v>1705</v>
      </c>
      <c r="D60" s="1182" t="s">
        <v>1706</v>
      </c>
      <c r="E60" s="1159" t="s">
        <v>1589</v>
      </c>
      <c r="F60" s="1138" t="s">
        <v>1702</v>
      </c>
      <c r="AX60" s="1184" t="s">
        <v>41</v>
      </c>
      <c r="AZ60" s="1184" t="s">
        <v>1227</v>
      </c>
      <c r="BE60" s="1184">
        <v>2058</v>
      </c>
      <c r="BJ60" s="1281" t="s">
        <v>1666</v>
      </c>
      <c r="BL60" s="1281" t="s">
        <v>1666</v>
      </c>
    </row>
    <row customHeight="1" ht="11.25">
      <c r="A61" s="1138" t="s">
        <v>1707</v>
      </c>
      <c r="D61" s="1182" t="s">
        <v>1708</v>
      </c>
      <c r="E61" s="1159" t="s">
        <v>1589</v>
      </c>
      <c r="F61" s="1138" t="s">
        <v>1702</v>
      </c>
      <c r="AX61" s="1184" t="s">
        <v>1709</v>
      </c>
      <c r="AZ61" s="1184" t="s">
        <v>1255</v>
      </c>
      <c r="BE61" s="1184">
        <v>2059</v>
      </c>
      <c r="BL61" s="1281" t="s">
        <v>1044</v>
      </c>
    </row>
    <row customHeight="1" ht="11.25">
      <c r="A62" s="1138" t="s">
        <v>1710</v>
      </c>
      <c r="D62" s="1182" t="s">
        <v>131</v>
      </c>
      <c r="E62" s="1159">
        <v>30</v>
      </c>
      <c r="F62" s="1138" t="s">
        <v>1702</v>
      </c>
      <c r="AZ62" s="1184" t="s">
        <v>1290</v>
      </c>
      <c r="BE62" s="1184">
        <v>2060</v>
      </c>
      <c r="BL62" s="1281" t="s">
        <v>1046</v>
      </c>
    </row>
    <row customHeight="1" ht="11.25">
      <c r="A63" s="1138" t="s">
        <v>1711</v>
      </c>
      <c r="D63" s="1182" t="s">
        <v>1712</v>
      </c>
      <c r="E63" s="1159">
        <v>30</v>
      </c>
      <c r="F63" s="1138" t="s">
        <v>1702</v>
      </c>
      <c r="AZ63" s="1184" t="s">
        <v>1321</v>
      </c>
      <c r="BE63" s="1184">
        <v>2061</v>
      </c>
    </row>
    <row customHeight="1" ht="11.25">
      <c r="A64" s="1138" t="s">
        <v>1713</v>
      </c>
      <c r="D64" s="1182" t="s">
        <v>1714</v>
      </c>
      <c r="E64" s="1159">
        <v>30</v>
      </c>
      <c r="F64" s="1138" t="s">
        <v>1702</v>
      </c>
      <c r="AZ64" s="1184" t="s">
        <v>1344</v>
      </c>
      <c r="BE64" s="1184">
        <v>2062</v>
      </c>
    </row>
    <row customHeight="1" ht="11.25">
      <c r="A65" s="1138" t="s">
        <v>1715</v>
      </c>
      <c r="D65" s="1138"/>
      <c r="BE65" s="1184">
        <v>2063</v>
      </c>
    </row>
    <row customHeight="1" ht="11.25">
      <c r="A66" s="1138" t="s">
        <v>1716</v>
      </c>
      <c r="AZ66" s="1131" t="s">
        <v>1717</v>
      </c>
      <c r="BE66" s="1184">
        <v>2064</v>
      </c>
    </row>
    <row customHeight="1" ht="11.25">
      <c r="A67" s="1138" t="s">
        <v>1718</v>
      </c>
      <c r="AZ67" s="1184" t="s">
        <v>1228</v>
      </c>
      <c r="BE67" s="1184">
        <v>2065</v>
      </c>
    </row>
    <row customHeight="1" ht="11.25">
      <c r="A68" s="1138" t="s">
        <v>1719</v>
      </c>
      <c r="AZ68" s="1184" t="s">
        <v>1256</v>
      </c>
      <c r="BE68" s="1184">
        <v>2066</v>
      </c>
      <c r="BH68" s="1131" t="s">
        <v>1720</v>
      </c>
      <c r="BJ68" s="1131" t="s">
        <v>1721</v>
      </c>
      <c r="BL68" s="1131" t="s">
        <v>1722</v>
      </c>
      <c r="BN68" s="1131" t="s">
        <v>1723</v>
      </c>
    </row>
    <row customHeight="1" ht="11.25">
      <c r="A69" s="1138" t="s">
        <v>1724</v>
      </c>
      <c r="AZ69" s="1184" t="s">
        <v>1291</v>
      </c>
      <c r="BE69" s="1184">
        <v>2067</v>
      </c>
      <c r="BH69" s="1132" t="s">
        <v>1725</v>
      </c>
      <c r="BI69" s="1181" t="s">
        <v>110</v>
      </c>
      <c r="BJ69" s="1132" t="s">
        <v>1726</v>
      </c>
      <c r="BK69" s="1181" t="s">
        <v>110</v>
      </c>
      <c r="BL69" s="1132" t="s">
        <v>1727</v>
      </c>
      <c r="BM69" s="1134" t="s">
        <v>110</v>
      </c>
      <c r="BN69" s="1132" t="s">
        <v>1728</v>
      </c>
    </row>
    <row customHeight="1" ht="11.25">
      <c r="A70" s="1138" t="s">
        <v>1729</v>
      </c>
      <c r="AZ70" s="1184" t="s">
        <v>1322</v>
      </c>
      <c r="BE70" s="1184">
        <v>2068</v>
      </c>
      <c r="BH70" s="1132" t="s">
        <v>1730</v>
      </c>
      <c r="BJ70" s="1132" t="s">
        <v>1731</v>
      </c>
      <c r="BL70" s="1132" t="s">
        <v>1732</v>
      </c>
      <c r="BN70" s="1132" t="s">
        <v>1733</v>
      </c>
    </row>
    <row customHeight="1" ht="11.25">
      <c r="A71" s="1138" t="s">
        <v>1734</v>
      </c>
      <c r="AZ71" s="1184" t="s">
        <v>1324</v>
      </c>
      <c r="BE71" s="1184">
        <v>2069</v>
      </c>
      <c r="BH71" s="1132" t="s">
        <v>1735</v>
      </c>
      <c r="BI71" s="1181" t="s">
        <v>91</v>
      </c>
      <c r="BJ71" s="1132" t="s">
        <v>1736</v>
      </c>
      <c r="BK71" s="1181" t="s">
        <v>91</v>
      </c>
      <c r="BL71" s="1132" t="s">
        <v>1737</v>
      </c>
      <c r="BM71" s="1134" t="s">
        <v>91</v>
      </c>
      <c r="BN71" s="1132" t="s">
        <v>1738</v>
      </c>
    </row>
    <row customHeight="1" ht="11.25">
      <c r="A72" s="1138" t="s">
        <v>1739</v>
      </c>
      <c r="AZ72" s="1184" t="s">
        <v>19</v>
      </c>
      <c r="BE72" s="1184">
        <v>2070</v>
      </c>
      <c r="BH72" s="1132" t="s">
        <v>1740</v>
      </c>
      <c r="BJ72" s="1132" t="s">
        <v>1740</v>
      </c>
      <c r="BL72" s="1132" t="s">
        <v>1740</v>
      </c>
      <c r="BN72" s="1132" t="s">
        <v>1741</v>
      </c>
    </row>
    <row customHeight="1" ht="11.25">
      <c r="A73" s="1138" t="s">
        <v>1742</v>
      </c>
      <c r="BH73" s="1132" t="s">
        <v>1743</v>
      </c>
      <c r="BI73" s="1181" t="s">
        <v>112</v>
      </c>
      <c r="BJ73" s="1132" t="s">
        <v>1744</v>
      </c>
      <c r="BK73" s="1181" t="s">
        <v>112</v>
      </c>
      <c r="BL73" s="1132" t="s">
        <v>1745</v>
      </c>
      <c r="BM73" s="1134" t="s">
        <v>112</v>
      </c>
      <c r="BN73" s="1132" t="s">
        <v>1746</v>
      </c>
    </row>
    <row customHeight="1" ht="11.25">
      <c r="A74" s="1138" t="s">
        <v>1747</v>
      </c>
      <c r="BH74" s="1132" t="s">
        <v>1748</v>
      </c>
      <c r="BJ74" s="1132" t="s">
        <v>1749</v>
      </c>
      <c r="BL74" s="1132" t="s">
        <v>1750</v>
      </c>
      <c r="BN74" s="1132" t="s">
        <v>1751</v>
      </c>
    </row>
    <row customHeight="1" ht="11.25">
      <c r="A75" s="1138" t="s">
        <v>1752</v>
      </c>
      <c r="AZ75" s="1131" t="s">
        <v>1753</v>
      </c>
      <c r="BH75" s="1132" t="s">
        <v>1754</v>
      </c>
      <c r="BJ75" s="1132" t="s">
        <v>1754</v>
      </c>
      <c r="BL75" s="1132" t="s">
        <v>1754</v>
      </c>
    </row>
    <row customHeight="1" ht="11.25">
      <c r="A76" s="1138" t="s">
        <v>1755</v>
      </c>
      <c r="AZ76" s="1184" t="s">
        <v>1237</v>
      </c>
      <c r="BH76" s="1132" t="s">
        <v>1756</v>
      </c>
      <c r="BJ76" s="1132" t="s">
        <v>1757</v>
      </c>
      <c r="BL76" s="1132" t="s">
        <v>1758</v>
      </c>
    </row>
    <row customHeight="1" ht="11.25">
      <c r="A77" s="1138" t="s">
        <v>1759</v>
      </c>
      <c r="AZ77" s="1184" t="s">
        <v>1266</v>
      </c>
    </row>
    <row customHeight="1" ht="11.25">
      <c r="A78" s="1138" t="s">
        <v>1760</v>
      </c>
      <c r="AZ78" s="1184" t="s">
        <v>1298</v>
      </c>
    </row>
    <row customHeight="1" ht="11.25">
      <c r="A79" s="1138" t="s">
        <v>1761</v>
      </c>
      <c r="AZ79" s="1184" t="s">
        <v>1328</v>
      </c>
      <c r="BH79" s="1131" t="s">
        <v>1762</v>
      </c>
      <c r="BJ79" s="1131" t="s">
        <v>1763</v>
      </c>
      <c r="BL79" s="1131" t="s">
        <v>1764</v>
      </c>
    </row>
    <row customHeight="1" ht="11.25">
      <c r="A80" s="1138" t="s">
        <v>1765</v>
      </c>
      <c r="AZ80" s="1184" t="s">
        <v>1349</v>
      </c>
      <c r="BH80" s="1132" t="s">
        <v>1766</v>
      </c>
      <c r="BJ80" s="1132" t="s">
        <v>1767</v>
      </c>
      <c r="BL80" s="1132" t="s">
        <v>1768</v>
      </c>
    </row>
    <row customHeight="1" ht="11.25">
      <c r="A81" s="1138" t="s">
        <v>1769</v>
      </c>
      <c r="AZ81" s="1184" t="s">
        <v>1366</v>
      </c>
      <c r="BH81" s="1132" t="s">
        <v>1770</v>
      </c>
      <c r="BJ81" s="1132" t="s">
        <v>1771</v>
      </c>
      <c r="BL81" s="1132" t="s">
        <v>1772</v>
      </c>
    </row>
    <row customHeight="1" ht="11.25">
      <c r="A82" s="1138" t="s">
        <v>1773</v>
      </c>
      <c r="AZ82" s="1184" t="s">
        <v>1381</v>
      </c>
      <c r="BH82" s="1132" t="s">
        <v>1774</v>
      </c>
      <c r="BJ82" s="1132" t="s">
        <v>1775</v>
      </c>
      <c r="BL82" s="1132" t="s">
        <v>1776</v>
      </c>
    </row>
    <row customHeight="1" ht="11.25">
      <c r="A83" s="1138" t="s">
        <v>1777</v>
      </c>
      <c r="BH83" s="1132" t="s">
        <v>1778</v>
      </c>
      <c r="BJ83" s="1132" t="s">
        <v>1779</v>
      </c>
      <c r="BL83" s="1132" t="s">
        <v>1780</v>
      </c>
    </row>
    <row customHeight="1" ht="11.25">
      <c r="A84" s="1138" t="s">
        <v>1781</v>
      </c>
      <c r="AZ84" s="1131" t="s">
        <v>1782</v>
      </c>
    </row>
    <row customHeight="1" ht="11.25">
      <c r="A85" s="1934" t="s">
        <v>1783</v>
      </c>
      <c r="AZ85" s="1184" t="s">
        <v>1784</v>
      </c>
    </row>
    <row customHeight="1" ht="11.25">
      <c r="A86" s="1138" t="s">
        <v>1785</v>
      </c>
      <c r="AZ86" s="1184" t="s">
        <v>1786</v>
      </c>
      <c r="BH86" s="1131" t="s">
        <v>1787</v>
      </c>
      <c r="BJ86" s="1131" t="s">
        <v>1788</v>
      </c>
      <c r="BL86" s="1131" t="s">
        <v>1789</v>
      </c>
    </row>
    <row customHeight="1" ht="11.25">
      <c r="A87" s="1138" t="s">
        <v>1790</v>
      </c>
      <c r="AZ87" s="1184" t="s">
        <v>1791</v>
      </c>
      <c r="BH87" s="1132" t="s">
        <v>1792</v>
      </c>
      <c r="BJ87" s="1132" t="s">
        <v>1793</v>
      </c>
      <c r="BL87" s="1132" t="s">
        <v>1794</v>
      </c>
    </row>
    <row customHeight="1" ht="11.25">
      <c r="A88" s="1138" t="s">
        <v>1795</v>
      </c>
      <c r="AZ88" s="1670"/>
      <c r="BH88" s="1132" t="s">
        <v>1796</v>
      </c>
      <c r="BJ88" s="1132" t="s">
        <v>1797</v>
      </c>
      <c r="BL88" s="1132" t="s">
        <v>1798</v>
      </c>
    </row>
    <row customHeight="1" ht="11.25">
      <c r="A89" s="1138" t="s">
        <v>1799</v>
      </c>
      <c r="AZ89" s="1131" t="s">
        <v>1800</v>
      </c>
    </row>
    <row customHeight="1" ht="11.25">
      <c r="A90" s="1138" t="s">
        <v>1801</v>
      </c>
      <c r="AZ90" s="1184" t="s">
        <v>1022</v>
      </c>
    </row>
    <row customHeight="1" ht="11.25">
      <c r="A91" s="1138" t="s">
        <v>1802</v>
      </c>
      <c r="AZ91" s="1184" t="s">
        <v>1058</v>
      </c>
      <c r="BH91" s="1131" t="s">
        <v>1803</v>
      </c>
      <c r="BJ91" s="1131" t="s">
        <v>1804</v>
      </c>
      <c r="BL91" s="1131" t="s">
        <v>1805</v>
      </c>
    </row>
    <row customHeight="1" ht="11.25">
      <c r="AZ92" s="1184" t="s">
        <v>1806</v>
      </c>
      <c r="BH92" s="1132" t="s">
        <v>1807</v>
      </c>
      <c r="BJ92" s="1132" t="s">
        <v>1808</v>
      </c>
      <c r="BL92" s="1132" t="s">
        <v>1809</v>
      </c>
    </row>
    <row customHeight="1" ht="11.25">
      <c r="AZ93" s="1184" t="s">
        <v>1810</v>
      </c>
      <c r="BH93" s="1132" t="s">
        <v>1811</v>
      </c>
      <c r="BJ93" s="1132" t="s">
        <v>1812</v>
      </c>
      <c r="BL93" s="1132" t="s">
        <v>1813</v>
      </c>
    </row>
    <row customHeight="1" ht="11.25">
      <c r="AZ94" s="1184" t="s">
        <v>1814</v>
      </c>
    </row>
    <row r="96" customHeight="1" ht="11.25">
      <c r="AZ96" s="1131" t="s">
        <v>1815</v>
      </c>
      <c r="BH96" s="1131" t="s">
        <v>1816</v>
      </c>
      <c r="BJ96" s="1131" t="s">
        <v>1817</v>
      </c>
      <c r="BL96" s="1131" t="s">
        <v>1818</v>
      </c>
      <c r="BN96" s="1131" t="s">
        <v>1819</v>
      </c>
    </row>
    <row customHeight="1" ht="11.25">
      <c r="AZ97" s="1965" t="s">
        <v>1820</v>
      </c>
      <c r="BA97" s="1966" t="s">
        <v>1821</v>
      </c>
      <c r="BH97" s="1132" t="s">
        <v>1822</v>
      </c>
      <c r="BJ97" s="1132" t="s">
        <v>1823</v>
      </c>
      <c r="BL97" s="1132" t="s">
        <v>1824</v>
      </c>
      <c r="BN97" s="1132" t="s">
        <v>1825</v>
      </c>
    </row>
    <row customHeight="1" ht="11.25">
      <c r="AZ98" s="1965" t="s">
        <v>1826</v>
      </c>
      <c r="BA98" s="1966" t="s">
        <v>1827</v>
      </c>
      <c r="BH98" s="1132" t="s">
        <v>1828</v>
      </c>
      <c r="BJ98" s="1132" t="s">
        <v>1829</v>
      </c>
      <c r="BL98" s="1132" t="s">
        <v>1830</v>
      </c>
      <c r="BN98" s="1132" t="s">
        <v>1831</v>
      </c>
    </row>
    <row customHeight="1" ht="22.5">
      <c r="AZ99" s="1965" t="s">
        <v>1832</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1833</v>
      </c>
      <c r="BJ99" s="1132" t="s">
        <v>1834</v>
      </c>
      <c r="BL99" s="1132" t="s">
        <v>1835</v>
      </c>
      <c r="BN99" s="1132" t="s">
        <v>1836</v>
      </c>
    </row>
    <row customHeight="1" ht="22.5">
      <c r="AZ100" s="1965" t="s">
        <v>1837</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1427</v>
      </c>
      <c r="BL100" s="1132" t="s">
        <v>1427</v>
      </c>
      <c r="BN100" s="1132" t="s">
        <v>1838</v>
      </c>
    </row>
    <row customHeight="1" ht="22.5">
      <c r="AZ101" s="1965" t="s">
        <v>1839</v>
      </c>
      <c r="BA101" s="1966" t="s">
        <v>1840</v>
      </c>
      <c r="BN101" s="1132" t="s">
        <v>1841</v>
      </c>
    </row>
    <row customHeight="1" ht="22.5">
      <c r="AZ102" s="1965" t="s">
        <v>1842</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1843</v>
      </c>
    </row>
    <row customHeight="1" ht="11.25">
      <c r="AZ103" s="1965" t="s">
        <v>1844</v>
      </c>
      <c r="BA103" s="1966" t="s">
        <v>1845</v>
      </c>
      <c r="BN103" s="1132" t="s">
        <v>1846</v>
      </c>
    </row>
    <row customHeight="1" ht="11.25">
      <c r="BN104" s="1132" t="s">
        <v>1847</v>
      </c>
    </row>
    <row customHeight="1" ht="11.25">
      <c r="AZ105" s="1756" t="s">
        <v>1848</v>
      </c>
    </row>
    <row customHeight="1" ht="11.25">
      <c r="AZ106" s="1184" t="s">
        <v>1849</v>
      </c>
    </row>
    <row customHeight="1" ht="11.25">
      <c r="AZ107" s="1184" t="s">
        <v>1850</v>
      </c>
      <c r="BH107" s="1131" t="s">
        <v>1851</v>
      </c>
      <c r="BJ107" s="1131" t="s">
        <v>1852</v>
      </c>
      <c r="BL107" s="1131" t="s">
        <v>1853</v>
      </c>
      <c r="BN107" s="1131" t="s">
        <v>1854</v>
      </c>
    </row>
    <row customHeight="1" ht="11.25">
      <c r="AZ108" s="1184" t="s">
        <v>575</v>
      </c>
      <c r="BH108" s="1132" t="s">
        <v>1855</v>
      </c>
      <c r="BJ108" s="1132" t="s">
        <v>1856</v>
      </c>
      <c r="BL108" s="1132" t="s">
        <v>1513</v>
      </c>
      <c r="BN108" s="1132" t="s">
        <v>1857</v>
      </c>
    </row>
    <row customHeight="1" ht="11.25">
      <c r="BH109" s="1132" t="s">
        <v>1858</v>
      </c>
    </row>
    <row customHeight="1" ht="11.25">
      <c r="AZ110" s="1756" t="s">
        <v>1859</v>
      </c>
      <c r="BH110" s="1132" t="s">
        <v>1858</v>
      </c>
    </row>
    <row customHeight="1" ht="11.25">
      <c r="AZ111" s="1965" t="s">
        <v>1820</v>
      </c>
      <c r="BA111" s="1966" t="s">
        <v>1821</v>
      </c>
    </row>
    <row customHeight="1" ht="11.25">
      <c r="AZ112" s="1965" t="s">
        <v>1826</v>
      </c>
      <c r="BA112" s="1966" t="s">
        <v>1827</v>
      </c>
    </row>
    <row customHeight="1" ht="22.5">
      <c r="AZ113" s="1965" t="s">
        <v>1832</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1837</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1860</v>
      </c>
    </row>
    <row customHeight="1" ht="22.5">
      <c r="AZ115" s="1965" t="s">
        <v>1842</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1224</v>
      </c>
    </row>
    <row customHeight="1" ht="11.25">
      <c r="AZ116" s="1965" t="s">
        <v>1844</v>
      </c>
      <c r="BA116" s="1966" t="s">
        <v>1845</v>
      </c>
      <c r="BH116" s="1132" t="s">
        <v>1252</v>
      </c>
    </row>
    <row customHeight="1" ht="11.25">
      <c r="BH117" s="1132" t="s">
        <v>1287</v>
      </c>
    </row>
    <row customHeight="1" ht="11.25">
      <c r="BH118" s="1132"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A4F1D-51D1-5C9F-6373-0.87D8DF22}" mc:Ignorable="x14ac xr xr2 xr3">
  <dimension ref="A1:J25"/>
  <sheetViews>
    <sheetView topLeftCell="A1" showGridLines="0" zoomScale="90" workbookViewId="0">
      <selection activeCell="A1" sqref="A1"/>
    </sheetView>
  </sheetViews>
  <sheetFormatPr defaultColWidth="9.140625" customHeight="1" defaultRowHeight="11.25"/>
  <cols>
    <col min="1" max="2" style="3326" width="15.00390625" hidden="1" customWidth="1"/>
    <col min="3" max="3" style="3324" width="3.00390625" customWidth="1"/>
    <col min="4" max="4" style="3405" width="6.00390625" customWidth="1"/>
    <col min="5" max="5" style="3324" width="52.00390625" customWidth="1"/>
    <col min="6" max="6" style="3324" width="48.00390625" customWidth="1"/>
    <col min="7" max="7" style="3324" width="93.00390625" customWidth="1"/>
    <col min="8" max="8" style="3324" width="8.00390625" customWidth="1"/>
    <col min="9" max="9" style="3324" width="64.00390625" customWidth="1"/>
    <col min="10" max="10" style="3324" width="9.140625" hidden="1"/>
  </cols>
  <sheetData>
    <row customHeight="1" ht="11.25" hidden="1">
      <c r="A1" s="565" t="s">
        <v>303</v>
      </c>
      <c r="J1" s="519" t="s">
        <v>14</v>
      </c>
    </row>
    <row customHeight="1" ht="22.5" hidden="1">
      <c r="A2" s="566"/>
      <c r="B2" s="566"/>
      <c r="C2" s="1794" t="s">
        <v>533</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Ненецкий автономный округ</v>
      </c>
      <c r="E6" s="2240"/>
      <c r="F6" s="2240"/>
      <c r="I6" s="779"/>
      <c r="J6" s="519">
        <v>17</v>
      </c>
    </row>
    <row s="3325"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304</v>
      </c>
      <c r="E9" s="2269"/>
      <c r="F9" s="2269"/>
      <c r="G9" s="2272" t="s">
        <v>305</v>
      </c>
      <c r="J9" s="519">
        <v>11</v>
      </c>
    </row>
    <row customHeight="1" ht="11.549999999999999">
      <c r="A10" s="566"/>
      <c r="B10" s="566"/>
      <c r="C10" s="521"/>
      <c r="D10" s="1538" t="s">
        <v>89</v>
      </c>
      <c r="E10" s="1540" t="s">
        <v>306</v>
      </c>
      <c r="F10" s="1540" t="s">
        <v>307</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Нарьян-Марское МУ ПОКиТС</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1861</v>
      </c>
      <c r="F13" s="1585" t="s">
        <v>310</v>
      </c>
      <c r="G13" s="538"/>
      <c r="H13" s="1597"/>
      <c r="J13" s="519">
        <v>19</v>
      </c>
    </row>
    <row customHeight="1" ht="19.95">
      <c r="A14" s="566"/>
      <c r="B14" s="566"/>
      <c r="C14" s="521"/>
      <c r="D14" s="1587" t="s">
        <v>712</v>
      </c>
      <c r="E14" s="1588" t="s">
        <v>1862</v>
      </c>
      <c r="F14" s="1590"/>
      <c r="G14" s="1589" t="s">
        <v>1863</v>
      </c>
      <c r="H14" s="1597"/>
      <c r="J14" s="519">
        <v>19</v>
      </c>
    </row>
    <row customHeight="1" ht="19.95">
      <c r="A15" s="566"/>
      <c r="B15" s="566"/>
      <c r="C15" s="521"/>
      <c r="D15" s="1587" t="s">
        <v>311</v>
      </c>
      <c r="E15" s="1588" t="s">
        <v>1864</v>
      </c>
      <c r="F15" s="1590"/>
      <c r="G15" s="1589" t="s">
        <v>1865</v>
      </c>
      <c r="H15" s="1597"/>
      <c r="J15" s="519">
        <v>19</v>
      </c>
    </row>
    <row customHeight="1" ht="24">
      <c r="A16" s="566"/>
      <c r="B16" s="566"/>
      <c r="C16" s="521"/>
      <c r="D16" s="1587" t="s">
        <v>314</v>
      </c>
      <c r="E16" s="1586" t="s">
        <v>1866</v>
      </c>
      <c r="F16" s="1595"/>
      <c r="G16" s="538" t="s">
        <v>1867</v>
      </c>
      <c r="H16" s="1597"/>
      <c r="J16" s="519">
        <v>23</v>
      </c>
    </row>
    <row customHeight="1" ht="48.29999999999999">
      <c r="A17" s="566"/>
      <c r="B17" s="566"/>
      <c r="C17" s="521"/>
      <c r="D17" s="1584">
        <v>3</v>
      </c>
      <c r="E17" s="1591" t="s">
        <v>1868</v>
      </c>
      <c r="F17" s="1590"/>
      <c r="G17" s="538" t="s">
        <v>1869</v>
      </c>
      <c r="H17" s="1597"/>
      <c r="J17" s="519">
        <v>46</v>
      </c>
    </row>
    <row customHeight="1" ht="48.29999999999999">
      <c r="A18" s="1539">
        <v>1</v>
      </c>
      <c r="B18" s="566"/>
      <c r="C18" s="1541"/>
      <c r="D18" s="1584" t="s">
        <v>92</v>
      </c>
      <c r="E18" s="1591" t="s">
        <v>1870</v>
      </c>
      <c r="F18" s="1590"/>
      <c r="G18" s="538" t="s">
        <v>1869</v>
      </c>
      <c r="H18" s="1597"/>
      <c r="I18" s="916"/>
      <c r="J18" s="519">
        <v>46</v>
      </c>
    </row>
    <row customHeight="1" ht="23.25">
      <c r="A19" s="566"/>
      <c r="B19" s="566"/>
      <c r="C19" s="521"/>
      <c r="D19" s="1584" t="s">
        <v>112</v>
      </c>
      <c r="E19" s="1591" t="s">
        <v>1871</v>
      </c>
      <c r="F19" s="1585" t="s">
        <v>310</v>
      </c>
      <c r="G19" s="2535" t="s">
        <v>1872</v>
      </c>
      <c r="H19" s="539"/>
      <c r="J19" s="519">
        <v>22</v>
      </c>
    </row>
    <row s="5627" customFormat="1" customHeight="1" ht="5.25" hidden="1">
      <c r="A20" s="566"/>
      <c r="B20" s="566"/>
      <c r="C20" s="1593"/>
      <c r="D20" s="1592" t="s">
        <v>1119</v>
      </c>
      <c r="E20" s="1078"/>
      <c r="F20" s="1077"/>
      <c r="G20" s="2536"/>
      <c r="J20" s="1594">
        <v>0</v>
      </c>
    </row>
    <row customHeight="1" ht="15.75">
      <c r="A21" s="566"/>
      <c r="B21" s="566"/>
      <c r="C21" s="521"/>
      <c r="D21" s="531"/>
      <c r="E21" s="479" t="s">
        <v>343</v>
      </c>
      <c r="F21" s="533"/>
      <c r="G21" s="2537"/>
      <c r="H21" s="1597"/>
      <c r="J21" s="519">
        <v>15</v>
      </c>
    </row>
    <row s="3326" customFormat="1" customHeight="1" ht="26.25">
      <c r="A22" s="566"/>
      <c r="B22" s="566"/>
      <c r="C22" s="566"/>
      <c r="D22" s="1584" t="s">
        <v>93</v>
      </c>
      <c r="E22" s="538" t="s">
        <v>1873</v>
      </c>
      <c r="F22" s="1590"/>
      <c r="G22" s="538" t="s">
        <v>1874</v>
      </c>
      <c r="H22" s="1596"/>
      <c r="J22" s="565">
        <v>25</v>
      </c>
    </row>
    <row s="3326" customFormat="1" customHeight="1" ht="19.95">
      <c r="A23" s="566"/>
      <c r="B23" s="566"/>
      <c r="C23" s="566"/>
      <c r="D23" s="1584" t="s">
        <v>94</v>
      </c>
      <c r="E23" s="1591" t="s">
        <v>1875</v>
      </c>
      <c r="F23" s="1595"/>
      <c r="G23" s="538" t="s">
        <v>1876</v>
      </c>
      <c r="H23" s="1596"/>
      <c r="J23" s="565">
        <v>19</v>
      </c>
    </row>
    <row s="3326" customFormat="1" customHeight="1" ht="144" hidden="1">
      <c r="A24" s="566"/>
      <c r="B24" s="566"/>
      <c r="C24" s="566"/>
      <c r="D24" s="1584" t="s">
        <v>113</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83</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8D6D9-543F-B161-DDF4-0.C862FC1}" mc:Ignorable="x14ac xr xr2 xr3">
  <dimension ref="A1:IU24"/>
  <sheetViews>
    <sheetView topLeftCell="A1" showGridLines="0" zoomScale="90" workbookViewId="0">
      <selection activeCell="A1" sqref="A1"/>
    </sheetView>
  </sheetViews>
  <sheetFormatPr defaultColWidth="9.140625" customHeight="1" defaultRowHeight="14.25"/>
  <cols>
    <col min="1" max="1" style="5468" width="9.140625" hidden="1"/>
    <col min="2" max="2" style="5416" width="9.140625" hidden="1"/>
    <col min="3" max="3" style="5468" width="3.7109375" hidden="1" customWidth="1"/>
    <col min="4" max="4" style="5763" width="3.00390625" customWidth="1"/>
    <col min="5" max="5" style="5468" width="6.00390625" customWidth="1"/>
    <col min="6" max="6" style="5468" width="46.00390625" customWidth="1"/>
    <col min="7" max="8" style="5468" width="16.00390625" customWidth="1"/>
    <col min="9" max="9" style="5468" width="35.00390625" customWidth="1"/>
    <col min="10" max="10" style="5468" width="89.00390625" customWidth="1"/>
    <col min="11" max="11" style="5419" width="3.00390625" customWidth="1"/>
    <col min="12" max="14" style="5419" width="8.00390625" customWidth="1"/>
    <col min="15" max="15" style="5419" width="25.00390625" customWidth="1"/>
    <col min="16" max="16" style="5419" width="14.00390625" customWidth="1"/>
    <col min="17" max="20" style="2883" width="8.00390625" customWidth="1"/>
    <col min="21" max="254" style="5468" width="8.00390625" customWidth="1"/>
    <col min="255" max="255" style="5468" width="9.140625" hidden="1"/>
  </cols>
  <sheetData>
    <row customHeight="1" ht="22.5" hidden="1">
      <c r="F1" s="1695" t="s">
        <v>1877</v>
      </c>
      <c r="G1" s="1695" t="s">
        <v>50</v>
      </c>
      <c r="H1" s="1695" t="s">
        <v>52</v>
      </c>
      <c r="IU1" s="1219" t="s">
        <v>14</v>
      </c>
    </row>
    <row s="6188" customFormat="1" customHeight="1" ht="22.5" hidden="1">
      <c r="A2" s="895"/>
      <c r="B2" s="1224">
        <v>1</v>
      </c>
      <c r="C2" s="1224"/>
      <c r="D2" s="1992" t="s">
        <v>533</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976" customFormat="1" customHeight="1" ht="4.2">
      <c r="A3" s="560"/>
      <c r="D3" s="558"/>
      <c r="F3" s="311" t="s">
        <v>84</v>
      </c>
      <c r="G3" s="558" t="s">
        <v>85</v>
      </c>
      <c r="H3" s="558"/>
      <c r="I3" s="558"/>
      <c r="J3" s="291" t="s">
        <v>86</v>
      </c>
      <c r="K3" s="311" t="s">
        <v>84</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473"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473"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473"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473" customFormat="1" customHeight="1" ht="14.699999999999998">
      <c r="A7" s="1219"/>
      <c r="B7" s="1224"/>
      <c r="C7" s="1219"/>
      <c r="D7" s="1559"/>
      <c r="E7" s="2165" t="s">
        <v>304</v>
      </c>
      <c r="F7" s="2166"/>
      <c r="G7" s="2166"/>
      <c r="H7" s="2166"/>
      <c r="I7" s="2166"/>
      <c r="J7" s="2538" t="s">
        <v>305</v>
      </c>
      <c r="K7" s="564"/>
      <c r="L7" s="564"/>
      <c r="M7" s="564"/>
      <c r="N7" s="564"/>
      <c r="O7" s="290"/>
      <c r="P7" s="564"/>
      <c r="Q7" s="289"/>
      <c r="R7" s="289"/>
      <c r="S7" s="289"/>
      <c r="T7" s="289"/>
      <c r="IU7" s="571">
        <v>14</v>
      </c>
    </row>
    <row s="3473" customFormat="1" customHeight="1" ht="21">
      <c r="A8" s="1219"/>
      <c r="B8" s="1224"/>
      <c r="C8" s="1219"/>
      <c r="D8" s="1559"/>
      <c r="E8" s="1612" t="s">
        <v>89</v>
      </c>
      <c r="F8" s="1604" t="s">
        <v>1877</v>
      </c>
      <c r="G8" s="1604" t="s">
        <v>50</v>
      </c>
      <c r="H8" s="1604" t="s">
        <v>52</v>
      </c>
      <c r="I8" s="1604" t="s">
        <v>1878</v>
      </c>
      <c r="J8" s="2539"/>
      <c r="K8" s="564"/>
      <c r="L8" s="564"/>
      <c r="M8" s="564"/>
      <c r="N8" s="564"/>
      <c r="O8" s="290"/>
      <c r="P8" s="564"/>
      <c r="Q8" s="289"/>
      <c r="R8" s="289"/>
      <c r="S8" s="289"/>
      <c r="T8" s="289"/>
      <c r="IU8" s="571">
        <v>20</v>
      </c>
    </row>
    <row s="6188"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6188" customFormat="1" customHeight="1" ht="15.75">
      <c r="A10" s="1695"/>
      <c r="B10" s="1224"/>
      <c r="C10" s="476"/>
      <c r="D10" s="865"/>
      <c r="E10" s="1605"/>
      <c r="F10" s="1564" t="s">
        <v>1879</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473"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473"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473"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98" customFormat="1" customHeight="1" ht="10.5">
      <c r="B14" s="898"/>
      <c r="D14" s="246"/>
      <c r="K14" s="564"/>
      <c r="L14" s="564"/>
      <c r="M14" s="564"/>
      <c r="N14" s="564"/>
      <c r="O14" s="290"/>
      <c r="P14" s="564"/>
      <c r="Q14" s="289"/>
      <c r="R14" s="289"/>
      <c r="S14" s="289"/>
      <c r="T14" s="289"/>
      <c r="IU14" s="245">
        <v>10</v>
      </c>
    </row>
    <row s="3398"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83</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5B005-472D-177E-75CB-0.4EE4A046}" mc:Ignorable="x14ac xr xr2 xr3">
  <dimension ref="A1:IW15"/>
  <sheetViews>
    <sheetView topLeftCell="A1" showGridLines="0" zoomScale="90" workbookViewId="0">
      <selection activeCell="A1" sqref="A1"/>
    </sheetView>
  </sheetViews>
  <sheetFormatPr defaultColWidth="9.140625" customHeight="1" defaultRowHeight="14.25"/>
  <cols>
    <col min="1" max="1" style="5468" width="9.140625" hidden="1"/>
    <col min="2" max="2" style="5416" width="9.140625" hidden="1"/>
    <col min="3" max="3" style="5468" width="3.7109375" hidden="1" customWidth="1"/>
    <col min="4" max="4" style="5763" width="3.00390625" customWidth="1"/>
    <col min="5" max="5" style="5468" width="6.00390625" customWidth="1"/>
    <col min="6" max="6" style="5468" width="27.00390625" customWidth="1"/>
    <col min="7" max="7" style="5468" width="16.00390625" customWidth="1"/>
    <col min="8" max="8" style="5468" width="12.00390625" customWidth="1"/>
    <col min="9" max="9" style="5468" width="32.00390625" customWidth="1"/>
    <col min="10" max="11" style="5468" width="41.00390625" customWidth="1"/>
    <col min="12" max="12" style="5468" width="89.00390625" customWidth="1"/>
    <col min="13" max="13" style="5419" width="3.00390625" customWidth="1"/>
    <col min="14" max="16" style="5419" width="8.00390625" customWidth="1"/>
    <col min="17" max="17" style="5419" width="25.00390625" customWidth="1"/>
    <col min="18" max="18" style="5419" width="14.00390625" customWidth="1"/>
    <col min="19" max="22" style="2883" width="8.00390625" customWidth="1"/>
    <col min="23" max="256" style="5468" width="8.00390625" customWidth="1"/>
    <col min="257" max="257" style="5468" width="9.140625" hidden="1"/>
  </cols>
  <sheetData>
    <row customHeight="1" ht="22.5" hidden="1">
      <c r="IW1" s="1219" t="s">
        <v>14</v>
      </c>
    </row>
    <row s="6188" customFormat="1" customHeight="1" ht="22.5" hidden="1">
      <c r="A2" s="895"/>
      <c r="B2" s="1224">
        <v>1</v>
      </c>
      <c r="C2" s="1224"/>
      <c r="D2" s="1992" t="s">
        <v>533</v>
      </c>
      <c r="E2" s="1953"/>
      <c r="F2" s="1956" t="str">
        <f>IF(ROIV_INFO_NAME="","",ROIV_INFO_NAME)</f>
        <v>Нарьян-Марское МУ ПОКиТС</v>
      </c>
      <c r="G2" s="1981" t="s">
        <v>28</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976" customFormat="1" customHeight="1" ht="5.25" hidden="1">
      <c r="A3" s="560"/>
      <c r="D3" s="558"/>
      <c r="F3" s="311" t="s">
        <v>84</v>
      </c>
      <c r="G3" s="1799" t="s">
        <v>85</v>
      </c>
      <c r="H3" s="558"/>
      <c r="I3" s="558"/>
      <c r="J3" s="558"/>
      <c r="K3" s="558"/>
      <c r="L3" s="291" t="s">
        <v>86</v>
      </c>
      <c r="M3" s="311" t="s">
        <v>84</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473"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473"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4"/>
      <c r="G5" s="2164"/>
      <c r="H5" s="2164"/>
      <c r="I5" s="2164"/>
      <c r="J5" s="2164"/>
      <c r="K5" s="2164"/>
      <c r="L5" s="652"/>
      <c r="M5" s="311"/>
      <c r="N5" s="564"/>
      <c r="O5" s="564"/>
      <c r="P5" s="564"/>
      <c r="Q5" s="290"/>
      <c r="R5" s="564"/>
      <c r="S5" s="289"/>
      <c r="T5" s="289"/>
      <c r="U5" s="289"/>
      <c r="V5" s="289"/>
      <c r="IW5" s="571">
        <v>26</v>
      </c>
    </row>
    <row s="3473"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473" customFormat="1" customHeight="1" ht="14.699999999999998">
      <c r="A7" s="1219"/>
      <c r="B7" s="1224"/>
      <c r="C7" s="1219"/>
      <c r="D7" s="1559"/>
      <c r="E7" s="2165" t="s">
        <v>304</v>
      </c>
      <c r="F7" s="2166"/>
      <c r="G7" s="2166"/>
      <c r="H7" s="2166"/>
      <c r="I7" s="2166"/>
      <c r="J7" s="2166"/>
      <c r="K7" s="2166"/>
      <c r="L7" s="2538" t="s">
        <v>305</v>
      </c>
      <c r="M7" s="564"/>
      <c r="N7" s="564"/>
      <c r="O7" s="564"/>
      <c r="P7" s="564"/>
      <c r="Q7" s="290"/>
      <c r="R7" s="564"/>
      <c r="S7" s="289"/>
      <c r="T7" s="289"/>
      <c r="U7" s="289"/>
      <c r="V7" s="289"/>
      <c r="IW7" s="571">
        <v>14</v>
      </c>
    </row>
    <row s="3473" customFormat="1" customHeight="1" ht="67.2">
      <c r="A8" s="1219"/>
      <c r="B8" s="1224"/>
      <c r="C8" s="1219"/>
      <c r="D8" s="1559"/>
      <c r="E8" s="2542" t="s">
        <v>89</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473" customFormat="1" customHeight="1" ht="29.25">
      <c r="A9" s="1219"/>
      <c r="B9" s="1224"/>
      <c r="C9" s="1219"/>
      <c r="D9" s="1559"/>
      <c r="E9" s="2543"/>
      <c r="F9" s="2543"/>
      <c r="G9" s="1601" t="s">
        <v>1880</v>
      </c>
      <c r="H9" s="1601" t="s">
        <v>1881</v>
      </c>
      <c r="I9" s="1601" t="s">
        <v>1882</v>
      </c>
      <c r="J9" s="2543"/>
      <c r="K9" s="2543"/>
      <c r="L9" s="2539"/>
      <c r="M9" s="564"/>
      <c r="N9" s="564"/>
      <c r="O9" s="564"/>
      <c r="P9" s="564"/>
      <c r="Q9" s="290"/>
      <c r="R9" s="564"/>
      <c r="S9" s="289"/>
      <c r="T9" s="289"/>
      <c r="U9" s="289"/>
      <c r="V9" s="289"/>
      <c r="IW9" s="571">
        <v>28</v>
      </c>
    </row>
    <row s="6188" customFormat="1" customHeight="1" ht="23.25">
      <c r="A10" s="2163"/>
      <c r="B10" s="1224">
        <v>1</v>
      </c>
      <c r="C10" s="1224"/>
      <c r="D10" s="864"/>
      <c r="E10" s="862">
        <v>1</v>
      </c>
      <c r="F10" s="1603" t="str">
        <f>IF(ROIV_INFO_NAME="","",ROIV_INFO_NAME)</f>
        <v>Нарьян-Марское МУ ПОКиТС</v>
      </c>
      <c r="G10" s="1796" t="s">
        <v>28</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6188" customFormat="1" customHeight="1" ht="15.75">
      <c r="A11" s="2163"/>
      <c r="B11" s="1224"/>
      <c r="C11" s="476"/>
      <c r="D11" s="865"/>
      <c r="E11" s="485"/>
      <c r="F11" s="480" t="s">
        <v>1883</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473"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473"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473"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83</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FBA9-4B28-93EB-3A47-0.7D0EF893}" mc:Ignorable="x14ac xr xr2 xr3">
  <dimension ref="A1:IW15"/>
  <sheetViews>
    <sheetView topLeftCell="A1" showGridLines="0" zoomScale="90" workbookViewId="0">
      <selection activeCell="A1" sqref="A1"/>
    </sheetView>
  </sheetViews>
  <sheetFormatPr defaultColWidth="9.140625" customHeight="1" defaultRowHeight="14.25"/>
  <cols>
    <col min="1" max="1" style="5468" width="9.140625" hidden="1"/>
    <col min="2" max="2" style="5416" width="9.140625" hidden="1"/>
    <col min="3" max="3" style="5468" width="3.7109375" hidden="1" customWidth="1"/>
    <col min="4" max="4" style="5763" width="3.00390625" customWidth="1"/>
    <col min="5" max="5" style="5468" width="6.00390625" customWidth="1"/>
    <col min="6" max="6" style="5468" width="27.00390625" customWidth="1"/>
    <col min="7" max="7" style="5468" width="16.00390625" customWidth="1"/>
    <col min="8" max="8" style="5468" width="12.00390625" customWidth="1"/>
    <col min="9" max="9" style="5468" width="32.00390625" customWidth="1"/>
    <col min="10" max="11" style="5468" width="41.00390625" customWidth="1"/>
    <col min="12" max="12" style="5468" width="89.00390625" customWidth="1"/>
    <col min="13" max="13" style="5419" width="3.00390625" customWidth="1"/>
    <col min="14" max="16" style="5419" width="8.00390625" customWidth="1"/>
    <col min="17" max="17" style="5419" width="25.00390625" customWidth="1"/>
    <col min="18" max="18" style="5419" width="14.00390625" customWidth="1"/>
    <col min="19" max="22" style="2883" width="8.00390625" customWidth="1"/>
    <col min="23" max="256" style="5468" width="8.00390625" customWidth="1"/>
    <col min="257" max="257" style="5468" width="9.140625" hidden="1"/>
  </cols>
  <sheetData>
    <row customHeight="1" ht="22.5" hidden="1">
      <c r="IW1" s="1695" t="s">
        <v>14</v>
      </c>
    </row>
    <row s="6188" customFormat="1" customHeight="1" ht="22.5" hidden="1">
      <c r="A2" s="895"/>
      <c r="B2" s="1430">
        <v>1</v>
      </c>
      <c r="C2" s="1430"/>
      <c r="D2" s="1992" t="s">
        <v>533</v>
      </c>
      <c r="E2" s="1968"/>
      <c r="F2" s="1970" t="str">
        <f>IF(ROIV_INFO_NAME="","",ROIV_INFO_NAME)</f>
        <v>Нарьян-Марское МУ ПОКиТС</v>
      </c>
      <c r="G2" s="1796" t="s">
        <v>28</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976" customFormat="1" customHeight="1" ht="5.25" hidden="1">
      <c r="A3" s="1705"/>
      <c r="D3" s="1957"/>
      <c r="F3" s="312" t="s">
        <v>84</v>
      </c>
      <c r="G3" s="1799" t="s">
        <v>85</v>
      </c>
      <c r="H3" s="1957"/>
      <c r="I3" s="1957"/>
      <c r="J3" s="1957"/>
      <c r="K3" s="1957"/>
      <c r="L3" s="291" t="s">
        <v>86</v>
      </c>
      <c r="M3" s="312" t="s">
        <v>84</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473"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473"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4"/>
      <c r="G5" s="2164"/>
      <c r="H5" s="2164"/>
      <c r="I5" s="2164"/>
      <c r="J5" s="2164"/>
      <c r="K5" s="2164"/>
      <c r="L5" s="1699"/>
      <c r="M5" s="312"/>
      <c r="N5" s="1688"/>
      <c r="O5" s="1688"/>
      <c r="P5" s="1688"/>
      <c r="Q5" s="1688"/>
      <c r="R5" s="1688"/>
      <c r="S5" s="289"/>
      <c r="T5" s="289"/>
      <c r="U5" s="289"/>
      <c r="V5" s="289"/>
      <c r="IW5" s="1673">
        <v>26</v>
      </c>
    </row>
    <row s="3473"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473" customFormat="1" customHeight="1" ht="14.699999999999998">
      <c r="A7" s="1695"/>
      <c r="B7" s="1430"/>
      <c r="C7" s="1695"/>
      <c r="D7" s="1579"/>
      <c r="E7" s="2165" t="s">
        <v>304</v>
      </c>
      <c r="F7" s="2166"/>
      <c r="G7" s="2166"/>
      <c r="H7" s="2166"/>
      <c r="I7" s="2166"/>
      <c r="J7" s="2166"/>
      <c r="K7" s="2166"/>
      <c r="L7" s="2538" t="s">
        <v>305</v>
      </c>
      <c r="M7" s="1688"/>
      <c r="N7" s="1688"/>
      <c r="O7" s="1688"/>
      <c r="P7" s="1688"/>
      <c r="Q7" s="1688"/>
      <c r="R7" s="1688"/>
      <c r="S7" s="289"/>
      <c r="T7" s="289"/>
      <c r="U7" s="289"/>
      <c r="V7" s="289"/>
      <c r="IW7" s="1673">
        <v>14</v>
      </c>
    </row>
    <row s="3473" customFormat="1" customHeight="1" ht="67.2">
      <c r="A8" s="1695"/>
      <c r="B8" s="1430"/>
      <c r="C8" s="1695"/>
      <c r="D8" s="1579"/>
      <c r="E8" s="2542" t="s">
        <v>89</v>
      </c>
      <c r="F8" s="2542" t="s">
        <v>1884</v>
      </c>
      <c r="G8" s="2544" t="s">
        <v>1885</v>
      </c>
      <c r="H8" s="2545"/>
      <c r="I8" s="2546"/>
      <c r="J8" s="2542" t="s">
        <v>1886</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473" customFormat="1" customHeight="1" ht="29.25">
      <c r="A9" s="1695"/>
      <c r="B9" s="1430"/>
      <c r="C9" s="1695"/>
      <c r="D9" s="1579"/>
      <c r="E9" s="2543"/>
      <c r="F9" s="2543"/>
      <c r="G9" s="1958" t="s">
        <v>1880</v>
      </c>
      <c r="H9" s="1958" t="s">
        <v>1881</v>
      </c>
      <c r="I9" s="1958" t="s">
        <v>1882</v>
      </c>
      <c r="J9" s="2543"/>
      <c r="K9" s="2543"/>
      <c r="L9" s="2539"/>
      <c r="M9" s="1688"/>
      <c r="N9" s="1688"/>
      <c r="O9" s="1688"/>
      <c r="P9" s="1688"/>
      <c r="Q9" s="1688"/>
      <c r="R9" s="1688"/>
      <c r="S9" s="289"/>
      <c r="T9" s="289"/>
      <c r="U9" s="289"/>
      <c r="V9" s="289"/>
      <c r="IW9" s="1673">
        <v>28</v>
      </c>
    </row>
    <row s="6188" customFormat="1" customHeight="1" ht="1.05">
      <c r="A10" s="2163"/>
      <c r="B10" s="1430">
        <v>1</v>
      </c>
      <c r="C10" s="1430"/>
      <c r="D10" s="864"/>
      <c r="E10" s="859">
        <v>0</v>
      </c>
      <c r="F10" s="1955" t="str">
        <f>IF(ROIV_INFO_NAME="","",ROIV_INFO_NAME)</f>
        <v>Нарьян-Марское МУ ПОКиТС</v>
      </c>
      <c r="G10" s="1797" t="s">
        <v>28</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6188" customFormat="1" customHeight="1" ht="15.75">
      <c r="A11" s="2163"/>
      <c r="B11" s="1430"/>
      <c r="C11" s="476"/>
      <c r="D11" s="865"/>
      <c r="E11" s="485"/>
      <c r="F11" s="715" t="s">
        <v>1883</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473"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473"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473"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83</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0B0D8-9661-68CF-5329-0.A255E5D1}" mc:Ignorable="x14ac xr xr2 xr3">
  <dimension ref="A1:Q19"/>
  <sheetViews>
    <sheetView topLeftCell="A1" showGridLines="0" zoomScale="90" workbookViewId="0">
      <selection activeCell="A1" sqref="A1"/>
    </sheetView>
  </sheetViews>
  <sheetFormatPr defaultColWidth="9.140625" customHeight="1" defaultRowHeight="14.25"/>
  <cols>
    <col min="1" max="1" style="5468" width="9.140625" hidden="1"/>
    <col min="2" max="2" style="5416" width="9.140625" hidden="1"/>
    <col min="3" max="3" style="5468" width="3.7109375" hidden="1" customWidth="1"/>
    <col min="4" max="4" style="5763" width="3.00390625" customWidth="1"/>
    <col min="5" max="5" style="5468" width="6.00390625" customWidth="1"/>
    <col min="6" max="6" style="5468" width="27.00390625" customWidth="1"/>
    <col min="7" max="7" style="5468" width="29.00390625" customWidth="1"/>
    <col min="8" max="8" style="5468" width="25.00390625" customWidth="1"/>
    <col min="9" max="9" style="5468" width="5.00390625" customWidth="1"/>
    <col min="10" max="10" style="5468" width="6.00390625" customWidth="1"/>
    <col min="11" max="11" style="5468" width="41.00390625" customWidth="1"/>
    <col min="12" max="12" style="5468" width="42.00390625" customWidth="1"/>
    <col min="13" max="13" style="5468" width="41.00390625" customWidth="1"/>
    <col min="14" max="14" style="5468" width="89.00390625" customWidth="1"/>
    <col min="15" max="15" style="5419" width="3.00390625" customWidth="1"/>
    <col min="16" max="16" style="5419" width="8.00390625" customWidth="1"/>
    <col min="17" max="17" style="5468" width="9.140625" hidden="1"/>
  </cols>
  <sheetData>
    <row customHeight="1" ht="22.5" hidden="1">
      <c r="Q1" s="1219" t="s">
        <v>14</v>
      </c>
    </row>
    <row s="6188" customFormat="1" customHeight="1" ht="22.5" hidden="1">
      <c r="A2" s="560"/>
      <c r="B2" s="1224">
        <v>1</v>
      </c>
      <c r="C2" s="1224"/>
      <c r="D2" s="1992" t="s">
        <v>533</v>
      </c>
      <c r="E2" s="2191">
        <v>1</v>
      </c>
      <c r="F2" s="2367" t="str">
        <f>IF(region_name="","",region_name)</f>
        <v>Ненецкий автономный округ</v>
      </c>
      <c r="G2" s="2547"/>
      <c r="H2" s="2548"/>
      <c r="I2" s="538"/>
      <c r="J2" s="1974">
        <v>1</v>
      </c>
      <c r="K2" s="1976"/>
      <c r="L2" s="1976"/>
      <c r="M2" s="1976"/>
      <c r="N2" s="556"/>
      <c r="O2" s="1599"/>
      <c r="P2" s="575"/>
      <c r="Q2" s="487">
        <v>0</v>
      </c>
    </row>
    <row s="6188" customFormat="1" customHeight="1" ht="22.5" hidden="1">
      <c r="A3" s="895"/>
      <c r="B3" s="1224"/>
      <c r="C3" s="1224"/>
      <c r="D3" s="865"/>
      <c r="E3" s="2191"/>
      <c r="F3" s="2367"/>
      <c r="G3" s="2547"/>
      <c r="H3" s="2549"/>
      <c r="I3" s="485"/>
      <c r="J3" s="1564"/>
      <c r="K3" s="1564" t="s">
        <v>1887</v>
      </c>
      <c r="L3" s="1607"/>
      <c r="M3" s="1984"/>
      <c r="N3" s="1977"/>
      <c r="O3" s="1599"/>
      <c r="P3" s="575"/>
      <c r="Q3" s="487">
        <v>0</v>
      </c>
    </row>
    <row s="4976" customFormat="1" customHeight="1" ht="5.25" hidden="1">
      <c r="A4" s="560"/>
      <c r="D4" s="558"/>
      <c r="F4" s="311" t="s">
        <v>84</v>
      </c>
      <c r="G4" s="558" t="s">
        <v>85</v>
      </c>
      <c r="H4" s="558"/>
      <c r="I4" s="1987"/>
      <c r="J4" s="1608"/>
      <c r="K4" s="1975"/>
      <c r="L4" s="1975"/>
      <c r="M4" s="1975"/>
      <c r="N4" s="1971"/>
      <c r="O4" s="311" t="s">
        <v>84</v>
      </c>
      <c r="P4" s="311"/>
      <c r="Q4" s="575">
        <v>0</v>
      </c>
    </row>
    <row s="6188" customFormat="1" customHeight="1" ht="22.5" hidden="1">
      <c r="A5" s="1705"/>
      <c r="B5" s="1430">
        <v>1</v>
      </c>
      <c r="C5" s="1430"/>
      <c r="D5" s="865"/>
      <c r="E5" s="1977"/>
      <c r="F5" s="1977"/>
      <c r="G5" s="1977"/>
      <c r="H5" s="1988"/>
      <c r="I5" s="1993" t="s">
        <v>533</v>
      </c>
      <c r="J5" s="1986">
        <v>1</v>
      </c>
      <c r="K5" s="1976"/>
      <c r="L5" s="1976"/>
      <c r="M5" s="1976"/>
      <c r="N5" s="556"/>
      <c r="O5" s="1599"/>
      <c r="P5" s="1700"/>
      <c r="Q5" s="688">
        <v>0</v>
      </c>
    </row>
    <row s="3473" customFormat="1" customHeight="1" ht="14.699999999999998">
      <c r="A6" s="1219"/>
      <c r="B6" s="1224"/>
      <c r="C6" s="1219"/>
      <c r="D6" s="1559"/>
      <c r="E6" s="573"/>
      <c r="F6" s="573"/>
      <c r="G6" s="573"/>
      <c r="H6" s="573"/>
      <c r="I6" s="573"/>
      <c r="J6" s="573"/>
      <c r="K6" s="573"/>
      <c r="L6" s="573"/>
      <c r="M6" s="573"/>
      <c r="N6" s="1699"/>
      <c r="O6" s="311"/>
      <c r="P6" s="564"/>
      <c r="Q6" s="571">
        <v>14</v>
      </c>
    </row>
    <row s="3473"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473" customFormat="1" customHeight="1" ht="14.699999999999998">
      <c r="A8" s="1219"/>
      <c r="B8" s="1224"/>
      <c r="C8" s="1219"/>
      <c r="D8" s="1559"/>
      <c r="E8" s="573"/>
      <c r="F8" s="231"/>
      <c r="G8" s="231"/>
      <c r="H8" s="231"/>
      <c r="I8" s="231"/>
      <c r="J8" s="231"/>
      <c r="K8" s="231"/>
      <c r="L8" s="231"/>
      <c r="M8" s="231"/>
      <c r="N8" s="680"/>
      <c r="O8" s="564"/>
      <c r="P8" s="564"/>
      <c r="Q8" s="571">
        <v>14</v>
      </c>
    </row>
    <row s="5693" customFormat="1" customHeight="1" ht="14.25" hidden="1">
      <c r="A9" s="1532"/>
      <c r="B9" s="1542"/>
      <c r="C9" s="1532"/>
      <c r="D9" s="1559"/>
      <c r="E9" s="1978"/>
      <c r="F9" s="1978"/>
      <c r="G9" s="1978"/>
      <c r="H9" s="1978"/>
      <c r="I9" s="2557"/>
      <c r="J9" s="2557"/>
      <c r="K9" s="2557"/>
      <c r="L9" s="1978"/>
      <c r="M9" s="1979"/>
      <c r="O9" s="1609"/>
      <c r="P9" s="1609"/>
      <c r="Q9" s="1610">
        <v>0</v>
      </c>
    </row>
    <row s="3473" customFormat="1" customHeight="1" ht="14.699999999999998">
      <c r="A10" s="1219"/>
      <c r="B10" s="1224"/>
      <c r="C10" s="1219"/>
      <c r="D10" s="1559"/>
      <c r="E10" s="2191" t="s">
        <v>304</v>
      </c>
      <c r="F10" s="2191"/>
      <c r="G10" s="2191"/>
      <c r="H10" s="2191"/>
      <c r="I10" s="2191"/>
      <c r="J10" s="2191"/>
      <c r="K10" s="2191"/>
      <c r="L10" s="2191"/>
      <c r="M10" s="2165"/>
      <c r="N10" s="2542" t="s">
        <v>305</v>
      </c>
      <c r="O10" s="564"/>
      <c r="P10" s="564"/>
      <c r="Q10" s="571">
        <v>14</v>
      </c>
    </row>
    <row s="3473" customFormat="1" customHeight="1" ht="44.25">
      <c r="A11" s="1695"/>
      <c r="B11" s="1430"/>
      <c r="C11" s="1695"/>
      <c r="D11" s="1579"/>
      <c r="E11" s="2556" t="s">
        <v>89</v>
      </c>
      <c r="F11" s="2556" t="s">
        <v>308</v>
      </c>
      <c r="G11" s="2556" t="s">
        <v>1888</v>
      </c>
      <c r="H11" s="2556"/>
      <c r="I11" s="2556" t="s">
        <v>1889</v>
      </c>
      <c r="J11" s="2556"/>
      <c r="K11" s="2556"/>
      <c r="L11" s="2556" t="s">
        <v>1890</v>
      </c>
      <c r="M11" s="2544" t="s">
        <v>1891</v>
      </c>
      <c r="N11" s="2555"/>
      <c r="O11" s="1688"/>
      <c r="P11" s="1688"/>
      <c r="Q11" s="1673">
        <v>42</v>
      </c>
    </row>
    <row s="3473" customFormat="1" customHeight="1" ht="29.25">
      <c r="A12" s="1219"/>
      <c r="B12" s="1224"/>
      <c r="C12" s="1219"/>
      <c r="D12" s="1559"/>
      <c r="E12" s="2542"/>
      <c r="F12" s="2556"/>
      <c r="G12" s="1973" t="s">
        <v>1892</v>
      </c>
      <c r="H12" s="1973" t="s">
        <v>312</v>
      </c>
      <c r="I12" s="2556"/>
      <c r="J12" s="2556"/>
      <c r="K12" s="2556"/>
      <c r="L12" s="2556"/>
      <c r="M12" s="2544"/>
      <c r="N12" s="2543"/>
      <c r="O12" s="564"/>
      <c r="P12" s="564"/>
      <c r="Q12" s="571">
        <v>28</v>
      </c>
    </row>
    <row s="6188" customFormat="1" customHeight="1" ht="23.25">
      <c r="A13" s="2163">
        <v>26379339</v>
      </c>
      <c r="B13" s="1224">
        <v>1</v>
      </c>
      <c r="C13" s="1224"/>
      <c r="D13" s="865"/>
      <c r="E13" s="2191">
        <v>1</v>
      </c>
      <c r="F13" s="2550" t="str">
        <f>IF(region_name="","",region_name)</f>
        <v>Ненецкий автономный округ</v>
      </c>
      <c r="G13" s="2551"/>
      <c r="H13" s="2558"/>
      <c r="I13" s="538"/>
      <c r="J13" s="1969">
        <v>1</v>
      </c>
      <c r="K13" s="1982"/>
      <c r="L13" s="1983"/>
      <c r="M13" s="1983"/>
      <c r="N13" s="2552" t="s">
        <v>1893</v>
      </c>
      <c r="O13" s="1599"/>
      <c r="P13" s="575"/>
      <c r="Q13" s="487">
        <v>22</v>
      </c>
    </row>
    <row s="6188" customFormat="1" customHeight="1" ht="23.25">
      <c r="A14" s="2163"/>
      <c r="B14" s="1224"/>
      <c r="C14" s="1224"/>
      <c r="D14" s="865"/>
      <c r="E14" s="2191"/>
      <c r="F14" s="2550"/>
      <c r="G14" s="2551"/>
      <c r="H14" s="2559"/>
      <c r="I14" s="485"/>
      <c r="J14" s="1564"/>
      <c r="K14" s="1564" t="s">
        <v>1887</v>
      </c>
      <c r="L14" s="1607"/>
      <c r="M14" s="1607"/>
      <c r="N14" s="2553"/>
      <c r="O14" s="1599"/>
      <c r="P14" s="575"/>
      <c r="Q14" s="487">
        <v>22</v>
      </c>
    </row>
    <row s="6188" customFormat="1" customHeight="1" ht="23.25">
      <c r="A15" s="2163"/>
      <c r="B15" s="1224"/>
      <c r="C15" s="476"/>
      <c r="D15" s="865"/>
      <c r="E15" s="485"/>
      <c r="F15" s="1564" t="s">
        <v>1879</v>
      </c>
      <c r="G15" s="1606"/>
      <c r="H15" s="1606"/>
      <c r="I15" s="251"/>
      <c r="J15" s="251"/>
      <c r="K15" s="251"/>
      <c r="L15" s="251"/>
      <c r="M15" s="251"/>
      <c r="N15" s="2553"/>
      <c r="O15" s="1600"/>
      <c r="P15" s="575"/>
      <c r="Q15" s="487">
        <v>22</v>
      </c>
    </row>
    <row s="3473" customFormat="1" customHeight="1" ht="22.049999999999997">
      <c r="A16" s="1219"/>
      <c r="B16" s="1224"/>
      <c r="C16" s="1219"/>
      <c r="D16" s="515"/>
      <c r="E16" s="244"/>
      <c r="F16" s="244"/>
      <c r="G16" s="244"/>
      <c r="H16" s="244"/>
      <c r="I16" s="244"/>
      <c r="J16" s="244"/>
      <c r="K16" s="244"/>
      <c r="L16" s="244"/>
      <c r="M16" s="573"/>
      <c r="N16" s="1699"/>
      <c r="O16" s="564"/>
      <c r="P16" s="564"/>
      <c r="Q16" s="571">
        <v>21</v>
      </c>
    </row>
    <row s="3473"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473"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83</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30366-037A-BD63-B85C-0.B713845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719" width="9.140625" hidden="1"/>
    <col min="2" max="2" style="5930" width="9.140625" hidden="1"/>
    <col min="3" max="3" style="5716" width="3.00390625" customWidth="1"/>
    <col min="4" max="4" style="5930" width="6.00390625" customWidth="1"/>
    <col min="5" max="5" style="5930" width="22.00390625" customWidth="1"/>
    <col min="6" max="6" style="5930" width="15.00390625" customWidth="1"/>
    <col min="7" max="7" style="5930" width="14.00390625" customWidth="1"/>
    <col min="8" max="8" style="5930" width="47.00390625" customWidth="1"/>
    <col min="9" max="9" style="5930" width="115.00390625" customWidth="1"/>
    <col min="10" max="10" style="5930" width="3.00390625" customWidth="1"/>
    <col min="11" max="12" style="5930" width="8.00390625" customWidth="1"/>
    <col min="13" max="13" style="5930" width="9.140625" hidden="1"/>
  </cols>
  <sheetData>
    <row customHeight="1" ht="14.25" hidden="1">
      <c r="M1" s="185" t="s">
        <v>14</v>
      </c>
    </row>
    <row customHeight="1" ht="14.25" hidden="1">
      <c r="M2" s="185">
        <v>0</v>
      </c>
    </row>
    <row customHeight="1" ht="14.25" hidden="1">
      <c r="M3" s="185">
        <v>0</v>
      </c>
    </row>
    <row customHeight="1" ht="3">
      <c r="M4" s="185">
        <v>3</v>
      </c>
    </row>
    <row s="5468" customFormat="1" customHeight="1" ht="31.5">
      <c r="A5" s="179"/>
      <c r="C5" s="154"/>
      <c r="D5" s="2164" t="s">
        <v>1894</v>
      </c>
      <c r="E5" s="2164"/>
      <c r="F5" s="2164"/>
      <c r="G5" s="2164"/>
      <c r="H5" s="2164"/>
      <c r="I5" s="329"/>
      <c r="M5" s="147">
        <v>30</v>
      </c>
    </row>
    <row customHeight="1" ht="3" hidden="1">
      <c r="D6" s="186"/>
      <c r="E6" s="186"/>
      <c r="F6" s="186"/>
      <c r="G6" s="186"/>
      <c r="H6" s="186"/>
      <c r="I6" s="186"/>
      <c r="M6" s="185">
        <v>0</v>
      </c>
    </row>
    <row s="5719" customFormat="1" customHeight="1" ht="14.699999999999998">
      <c r="B7" s="183"/>
      <c r="C7" s="184"/>
      <c r="D7" s="187"/>
      <c r="E7" s="187"/>
      <c r="F7" s="187"/>
      <c r="G7" s="187"/>
      <c r="H7" s="816"/>
      <c r="I7" s="187"/>
      <c r="J7" s="188"/>
      <c r="M7" s="182">
        <v>14</v>
      </c>
    </row>
    <row customHeight="1" ht="14.699999999999998">
      <c r="D8" s="2273" t="s">
        <v>304</v>
      </c>
      <c r="E8" s="2273"/>
      <c r="F8" s="2273"/>
      <c r="G8" s="2273"/>
      <c r="H8" s="2273"/>
      <c r="I8" s="2273" t="s">
        <v>305</v>
      </c>
      <c r="M8" s="185">
        <v>14</v>
      </c>
    </row>
    <row customHeight="1" ht="29.25">
      <c r="D9" s="2273" t="s">
        <v>89</v>
      </c>
      <c r="E9" s="2273" t="s">
        <v>1895</v>
      </c>
      <c r="F9" s="2273"/>
      <c r="G9" s="2273"/>
      <c r="H9" s="2273"/>
      <c r="I9" s="2273"/>
      <c r="M9" s="185">
        <v>28</v>
      </c>
    </row>
    <row customHeight="1" ht="24">
      <c r="D10" s="2273"/>
      <c r="E10" s="191" t="s">
        <v>1896</v>
      </c>
      <c r="F10" s="191" t="s">
        <v>1897</v>
      </c>
      <c r="G10" s="191" t="s">
        <v>1898</v>
      </c>
      <c r="H10" s="191" t="s">
        <v>394</v>
      </c>
      <c r="I10" s="2273"/>
      <c r="M10" s="185">
        <v>23</v>
      </c>
    </row>
    <row customHeight="1" ht="12" hidden="1">
      <c r="D11" s="151" t="s">
        <v>110</v>
      </c>
      <c r="E11" s="151" t="s">
        <v>92</v>
      </c>
      <c r="F11" s="151" t="s">
        <v>112</v>
      </c>
      <c r="G11" s="151" t="s">
        <v>93</v>
      </c>
      <c r="H11" s="151" t="s">
        <v>94</v>
      </c>
      <c r="I11" s="151" t="s">
        <v>113</v>
      </c>
      <c r="M11" s="185">
        <v>0</v>
      </c>
    </row>
    <row s="5930" customFormat="1" customHeight="1" ht="26.25">
      <c r="A12" s="209" t="s">
        <v>91</v>
      </c>
      <c r="B12" s="189" t="s">
        <v>28</v>
      </c>
      <c r="C12" s="190"/>
      <c r="D12" s="192" t="s">
        <v>110</v>
      </c>
      <c r="E12" s="445"/>
      <c r="F12" s="445"/>
      <c r="G12" s="1798" t="s">
        <v>28</v>
      </c>
      <c r="H12" s="446"/>
      <c r="I12" s="2233" t="s">
        <v>1899</v>
      </c>
      <c r="K12" s="336"/>
      <c r="L12" s="337"/>
      <c r="M12" s="181">
        <v>25</v>
      </c>
    </row>
    <row customHeight="1" ht="15.75">
      <c r="A13" s="185"/>
      <c r="B13" s="185"/>
      <c r="C13" s="185"/>
      <c r="D13" s="173"/>
      <c r="E13" s="194" t="s">
        <v>469</v>
      </c>
      <c r="F13" s="193"/>
      <c r="G13" s="193"/>
      <c r="H13" s="278"/>
      <c r="I13" s="2235"/>
      <c r="M13" s="185">
        <v>15</v>
      </c>
    </row>
    <row customHeight="1" ht="3">
      <c r="A14" s="185"/>
      <c r="B14" s="185"/>
      <c r="C14" s="185"/>
      <c r="M14" s="185">
        <v>3</v>
      </c>
    </row>
    <row customHeight="1" ht="29.25">
      <c r="E15" s="2560" t="s">
        <v>1900</v>
      </c>
      <c r="F15" s="2560"/>
      <c r="G15" s="2560"/>
      <c r="H15" s="2560"/>
      <c r="M15" s="185">
        <v>28</v>
      </c>
    </row>
    <row customHeight="1" ht="14.25" hidden="1">
      <c r="A16" s="182" t="s">
        <v>83</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3BF5B-1A63-6675-52C4-0.1AB188A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5750" width="9.140625" hidden="1"/>
    <col min="3" max="3" style="5749" width="3.00390625" customWidth="1"/>
    <col min="4" max="4" style="5750" width="6.00390625" customWidth="1"/>
    <col min="5" max="5" style="5750" width="94.00390625" customWidth="1"/>
    <col min="6" max="9" style="5750" width="8.00390625" customWidth="1"/>
    <col min="10" max="10" style="575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1901</v>
      </c>
      <c r="E7" s="2562"/>
      <c r="F7" s="331"/>
      <c r="J7" s="133">
        <v>22</v>
      </c>
    </row>
    <row customHeight="1" ht="3">
      <c r="C8" s="156"/>
      <c r="D8" s="134"/>
      <c r="E8" s="134"/>
      <c r="J8" s="133">
        <v>3</v>
      </c>
    </row>
    <row customHeight="1" ht="16.8">
      <c r="C9" s="156"/>
      <c r="D9" s="169" t="s">
        <v>89</v>
      </c>
      <c r="E9" s="324" t="s">
        <v>1902</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1903</v>
      </c>
      <c r="J13" s="133">
        <v>12</v>
      </c>
    </row>
    <row customHeight="1" ht="3">
      <c r="J14" s="133">
        <v>3</v>
      </c>
    </row>
    <row customHeight="1" ht="23.25">
      <c r="C15" s="201"/>
      <c r="D15" s="2563" t="s">
        <v>1904</v>
      </c>
      <c r="E15" s="2563"/>
      <c r="F15" s="202"/>
      <c r="G15" s="202"/>
      <c r="H15" s="202"/>
      <c r="I15" s="202"/>
      <c r="J15" s="133">
        <v>22</v>
      </c>
    </row>
    <row customHeight="1" ht="14.25" hidden="1">
      <c r="A16" s="133" t="s">
        <v>83</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46699-BA39-F93F-D7FB-0.540A2CA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750" width="9.140625" hidden="1"/>
    <col min="3" max="3" style="5749" width="3.00390625" customWidth="1"/>
    <col min="4" max="4" style="5750" width="6.00390625" customWidth="1"/>
    <col min="5" max="5" style="5750" width="94.00390625" customWidth="1"/>
    <col min="6" max="12" style="5750" width="8.00390625" customWidth="1"/>
    <col min="13" max="13" style="575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1905</v>
      </c>
      <c r="E7" s="2164"/>
      <c r="F7" s="331"/>
      <c r="M7" s="133">
        <v>22</v>
      </c>
    </row>
    <row customHeight="1" ht="3">
      <c r="C8" s="156"/>
      <c r="D8" s="134"/>
      <c r="E8" s="134"/>
      <c r="M8" s="133">
        <v>3</v>
      </c>
    </row>
    <row customHeight="1" ht="16.8">
      <c r="C9" s="156"/>
      <c r="D9" s="169" t="s">
        <v>89</v>
      </c>
      <c r="E9" s="172" t="s">
        <v>291</v>
      </c>
      <c r="M9" s="133">
        <v>16</v>
      </c>
    </row>
    <row customHeight="1" ht="12.75">
      <c r="C10" s="156"/>
      <c r="D10" s="151" t="s">
        <v>110</v>
      </c>
      <c r="E10" s="151" t="s">
        <v>111</v>
      </c>
      <c r="M10" s="133">
        <v>12</v>
      </c>
    </row>
    <row customHeight="1" ht="15" hidden="1">
      <c r="C11" s="156"/>
      <c r="D11" s="177">
        <v>0</v>
      </c>
      <c r="E11" s="213"/>
      <c r="M11" s="133">
        <v>0</v>
      </c>
    </row>
    <row customHeight="1" ht="14.699999999999998">
      <c r="C12" s="156"/>
      <c r="D12" s="173"/>
      <c r="E12" s="171" t="s">
        <v>1903</v>
      </c>
      <c r="M12" s="133">
        <v>14</v>
      </c>
    </row>
    <row customHeight="1" ht="14.25" hidden="1">
      <c r="A13" s="133" t="s">
        <v>83</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D1297-C1B4-7B1A-EE49-0.61BDF57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6188" width="9.140625" hidden="1"/>
    <col min="3" max="4" style="6188" width="3.00390625" customWidth="1"/>
    <col min="5" max="6" style="6188" width="15.00390625" customWidth="1"/>
    <col min="7" max="7" style="6188" width="11.57421875" customWidth="1"/>
    <col min="8" max="9" style="6188" width="3.00390625" customWidth="1"/>
    <col min="10" max="10" style="6188" width="12.00390625" customWidth="1"/>
    <col min="11" max="11" style="6188" width="0.28125" customWidth="1"/>
    <col min="12" max="13" style="6188" width="10.00390625" customWidth="1"/>
    <col min="14" max="15" style="6188" width="3.00390625" customWidth="1"/>
    <col min="16" max="16" style="6188" width="19.00390625" customWidth="1"/>
    <col min="17" max="17" style="6188" width="0.28125" customWidth="1"/>
    <col min="18" max="19" style="6188" width="10.00390625" customWidth="1"/>
    <col min="20" max="21" style="6188" width="3.00390625" customWidth="1"/>
    <col min="22" max="22" style="6188" width="25.00390625" customWidth="1"/>
    <col min="23" max="23" style="6188" width="0.28125" customWidth="1"/>
    <col min="24" max="25" style="6188" width="10.00390625" customWidth="1"/>
    <col min="26" max="27" style="6188" width="3.00390625" customWidth="1"/>
    <col min="28" max="28" style="6188" width="16.00390625" customWidth="1"/>
    <col min="29" max="29" style="6188" width="0.28125" customWidth="1"/>
    <col min="30" max="31" style="6188" width="10.00390625" customWidth="1"/>
    <col min="32" max="33" style="6188" width="3.00390625" customWidth="1"/>
    <col min="34" max="34" style="6188" width="8.00390625" customWidth="1"/>
    <col min="35" max="35" style="6188" width="21.00390625" customWidth="1"/>
    <col min="36" max="36" style="6188" width="8.00390625" customWidth="1"/>
    <col min="37" max="37" style="5719" width="8.00390625" customWidth="1"/>
    <col min="38" max="64" style="6188" width="8.00390625" customWidth="1"/>
    <col min="65" max="65" style="6188" width="9.140625" hidden="1"/>
  </cols>
  <sheetData>
    <row s="614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250" customFormat="1" customHeight="1" ht="11.25" hidden="1">
      <c r="L2" s="1617" t="s">
        <v>283</v>
      </c>
      <c r="M2" s="1617" t="s">
        <v>284</v>
      </c>
      <c r="R2" s="1617" t="s">
        <v>285</v>
      </c>
      <c r="S2" s="1617" t="s">
        <v>284</v>
      </c>
      <c r="X2" s="1617" t="s">
        <v>283</v>
      </c>
      <c r="Y2" s="1617" t="s">
        <v>284</v>
      </c>
      <c r="AD2" s="1617" t="s">
        <v>283</v>
      </c>
      <c r="AE2" s="1617" t="s">
        <v>284</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252"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473" customFormat="1" customHeight="1" ht="34.5">
      <c r="A4" s="1220"/>
      <c r="B4" s="1219"/>
      <c r="C4" s="1579"/>
      <c r="D4" s="2255" t="s">
        <v>286</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473" customFormat="1" customHeight="1" ht="14.699999999999998">
      <c r="A5" s="1696"/>
      <c r="B5" s="1695"/>
      <c r="C5" s="1579"/>
      <c r="D5" s="2240" t="str">
        <f>IF(org=0,"Не определено",org)</f>
        <v>Нарьян-Марское МУ ПОКиТС</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473"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614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89</v>
      </c>
      <c r="E8" s="2191" t="s">
        <v>106</v>
      </c>
      <c r="F8" s="2256" t="s">
        <v>123</v>
      </c>
      <c r="G8" s="2257"/>
      <c r="H8" s="2256" t="s">
        <v>89</v>
      </c>
      <c r="I8" s="2257"/>
      <c r="J8" s="2191" t="s">
        <v>124</v>
      </c>
      <c r="K8" s="1620"/>
      <c r="L8" s="2260" t="s">
        <v>287</v>
      </c>
      <c r="M8" s="2260"/>
      <c r="N8" s="2260"/>
      <c r="O8" s="2260"/>
      <c r="P8" s="2260"/>
      <c r="Q8" s="1621"/>
      <c r="R8" s="2160" t="s">
        <v>288</v>
      </c>
      <c r="S8" s="2261"/>
      <c r="T8" s="2261"/>
      <c r="U8" s="2261"/>
      <c r="V8" s="2261"/>
      <c r="W8" s="1621"/>
      <c r="X8" s="2262" t="s">
        <v>289</v>
      </c>
      <c r="Y8" s="2262"/>
      <c r="Z8" s="2262"/>
      <c r="AA8" s="2262"/>
      <c r="AB8" s="2262"/>
      <c r="AC8" s="1622"/>
      <c r="AD8" s="2191" t="s">
        <v>290</v>
      </c>
      <c r="AE8" s="2191"/>
      <c r="AF8" s="2191"/>
      <c r="AG8" s="2191"/>
      <c r="AH8" s="2165"/>
      <c r="AI8" s="2191" t="s">
        <v>291</v>
      </c>
      <c r="AJ8" s="1638"/>
      <c r="BM8" s="357">
        <v>32</v>
      </c>
    </row>
    <row customHeight="1" ht="23.25">
      <c r="D9" s="2191"/>
      <c r="E9" s="2191"/>
      <c r="F9" s="2239" t="s">
        <v>90</v>
      </c>
      <c r="G9" s="2239" t="s">
        <v>129</v>
      </c>
      <c r="H9" s="2258"/>
      <c r="I9" s="2259"/>
      <c r="J9" s="2165"/>
      <c r="K9" s="1623"/>
      <c r="L9" s="2191" t="s">
        <v>292</v>
      </c>
      <c r="M9" s="2165"/>
      <c r="N9" s="2256" t="s">
        <v>89</v>
      </c>
      <c r="O9" s="2257"/>
      <c r="P9" s="2191" t="s">
        <v>130</v>
      </c>
      <c r="Q9" s="1620"/>
      <c r="R9" s="2191" t="s">
        <v>292</v>
      </c>
      <c r="S9" s="2165"/>
      <c r="T9" s="2256" t="s">
        <v>89</v>
      </c>
      <c r="U9" s="2257"/>
      <c r="V9" s="2191" t="s">
        <v>130</v>
      </c>
      <c r="W9" s="1620"/>
      <c r="X9" s="2191" t="s">
        <v>292</v>
      </c>
      <c r="Y9" s="2165"/>
      <c r="Z9" s="2256" t="s">
        <v>89</v>
      </c>
      <c r="AA9" s="2257"/>
      <c r="AB9" s="2191" t="s">
        <v>293</v>
      </c>
      <c r="AC9" s="1620"/>
      <c r="AD9" s="2191" t="s">
        <v>292</v>
      </c>
      <c r="AE9" s="2165"/>
      <c r="AF9" s="2256" t="s">
        <v>89</v>
      </c>
      <c r="AG9" s="2257"/>
      <c r="AH9" s="2165" t="s">
        <v>293</v>
      </c>
      <c r="AI9" s="2191"/>
      <c r="AJ9" s="1638"/>
      <c r="BM9" s="357">
        <v>22</v>
      </c>
    </row>
    <row customHeight="1" ht="24">
      <c r="D10" s="2239"/>
      <c r="E10" s="2239"/>
      <c r="F10" s="2263"/>
      <c r="G10" s="2263"/>
      <c r="H10" s="2264"/>
      <c r="I10" s="2265"/>
      <c r="J10" s="2256"/>
      <c r="K10" s="1623"/>
      <c r="L10" s="1642" t="s">
        <v>294</v>
      </c>
      <c r="M10" s="1637" t="s">
        <v>295</v>
      </c>
      <c r="N10" s="2258"/>
      <c r="O10" s="2259"/>
      <c r="P10" s="2239"/>
      <c r="Q10" s="1620"/>
      <c r="R10" s="1642" t="s">
        <v>294</v>
      </c>
      <c r="S10" s="1637" t="s">
        <v>295</v>
      </c>
      <c r="T10" s="2258"/>
      <c r="U10" s="2259"/>
      <c r="V10" s="2239"/>
      <c r="W10" s="1620"/>
      <c r="X10" s="1642" t="s">
        <v>294</v>
      </c>
      <c r="Y10" s="1637" t="s">
        <v>295</v>
      </c>
      <c r="Z10" s="2258"/>
      <c r="AA10" s="2259"/>
      <c r="AB10" s="2239"/>
      <c r="AC10" s="1620"/>
      <c r="AD10" s="1642" t="s">
        <v>294</v>
      </c>
      <c r="AE10" s="1637" t="s">
        <v>295</v>
      </c>
      <c r="AF10" s="2258"/>
      <c r="AG10" s="2259"/>
      <c r="AH10" s="2256"/>
      <c r="AI10" s="2239"/>
      <c r="AJ10" s="1638"/>
      <c r="AK10" s="318" t="s">
        <v>296</v>
      </c>
      <c r="AL10" s="318" t="s">
        <v>131</v>
      </c>
      <c r="BM10" s="357">
        <v>23</v>
      </c>
    </row>
    <row customHeight="1" ht="15">
      <c r="D11" s="2247" t="s">
        <v>110</v>
      </c>
      <c r="E11" s="2243" t="s">
        <v>297</v>
      </c>
      <c r="F11" s="2243" t="s">
        <v>298</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252"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111</v>
      </c>
      <c r="E17" s="2243" t="s">
        <v>297</v>
      </c>
      <c r="F17" s="2243" t="s">
        <v>299</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252"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91</v>
      </c>
      <c r="E23" s="2243" t="s">
        <v>297</v>
      </c>
      <c r="F23" s="2243" t="s">
        <v>300</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99</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252"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92</v>
      </c>
      <c r="E29" s="2243" t="s">
        <v>297</v>
      </c>
      <c r="F29" s="2243" t="s">
        <v>301</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252"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112</v>
      </c>
      <c r="E35" s="2243" t="s">
        <v>297</v>
      </c>
      <c r="F35" s="2243" t="s">
        <v>302</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252"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83</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9D378-F789-BF5D-190E-0.4DA23A6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6188" width="1.7109375" customWidth="1"/>
    <col min="2" max="2" style="6188" width="34.57421875" customWidth="1"/>
    <col min="3" max="3" style="6188" width="85.00390625" customWidth="1"/>
    <col min="4" max="4" style="6188" width="17.00390625" customWidth="1"/>
    <col min="5" max="5" style="6188" width="8.00390625" customWidth="1"/>
    <col min="6" max="6" style="6188" width="9.140625" hidden="1"/>
  </cols>
  <sheetData>
    <row customHeight="1" ht="3">
      <c r="F1" s="153" t="s">
        <v>14</v>
      </c>
    </row>
    <row customHeight="1" ht="22.5">
      <c r="B2" s="2677" t="s">
        <v>1906</v>
      </c>
      <c r="C2" s="2564"/>
      <c r="D2" s="2564"/>
      <c r="E2" s="332"/>
      <c r="F2" s="153">
        <v>22</v>
      </c>
    </row>
    <row customHeight="1" ht="3">
      <c r="F3" s="153">
        <v>3</v>
      </c>
    </row>
    <row customHeight="1" ht="23.25">
      <c r="B4" s="2678" t="s">
        <v>1907</v>
      </c>
      <c r="C4" s="447" t="s">
        <v>1908</v>
      </c>
      <c r="D4" s="447" t="s">
        <v>1909</v>
      </c>
      <c r="F4" s="153">
        <v>22</v>
      </c>
    </row>
    <row customHeight="1" ht="11.25" hidden="1">
      <c r="A5" s="153" t="s">
        <v>83</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B984D-76EE-006E-4DEA-0.B868949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6188" width="26.57421875" customWidth="1"/>
    <col min="2" max="2" style="6188" width="10.00390625" customWidth="1"/>
    <col min="3" max="3" style="6188" width="9.140625"/>
    <col min="4" max="4" style="6188" width="11.140625" customWidth="1"/>
    <col min="5" max="5" style="6188" width="16.57421875" customWidth="1"/>
    <col min="6" max="6" style="6188" width="16.28125" customWidth="1"/>
    <col min="7" max="7" style="6188" width="19.140625" customWidth="1"/>
    <col min="8" max="11" style="6188" width="10.00390625" customWidth="1"/>
    <col min="12" max="12" style="6188" width="12.7109375" customWidth="1"/>
    <col min="13" max="13" style="6188" width="61.28125" customWidth="1"/>
    <col min="14" max="14" style="6188" width="10.00390625" customWidth="1"/>
    <col min="15" max="17" style="6188" width="23.7109375" customWidth="1"/>
    <col min="18" max="18" style="6188" width="11.7109375" customWidth="1"/>
    <col min="19" max="19" style="6188" width="8.57421875" customWidth="1"/>
    <col min="20" max="20" style="6188" width="11.7109375" customWidth="1"/>
    <col min="21" max="21" style="6188" width="8.57421875" customWidth="1"/>
    <col min="22" max="22" style="6188" width="4.7109375" customWidth="1"/>
    <col min="23" max="23" style="6188" width="115.7109375" customWidth="1"/>
    <col min="24" max="24" style="6188" width="115.28125" customWidth="1"/>
    <col min="25" max="27" style="6188" width="9.140625"/>
    <col min="28" max="28" style="6188" width="115.7109375" customWidth="1"/>
    <col min="29" max="29" style="6188" width="9.140625"/>
    <col min="30" max="90" style="6188" width="115.7109375" customWidth="1"/>
    <col min="91" max="184" style="6188" width="9.140625"/>
  </cols>
  <sheetData>
    <row r="2" s="5759" customFormat="1" customHeight="1" ht="17.25">
      <c r="A2" s="1879" t="s">
        <v>1910</v>
      </c>
    </row>
    <row r="4" s="5750" customFormat="1" customHeight="1" ht="15">
      <c r="C4" s="1880"/>
      <c r="D4" s="177"/>
      <c r="E4" s="441"/>
    </row>
    <row r="6" s="5759" customFormat="1" customHeight="1" ht="17.25">
      <c r="A6" s="1879" t="s">
        <v>1911</v>
      </c>
    </row>
    <row r="8" s="5750" customFormat="1" customHeight="1" ht="17.25">
      <c r="C8" s="1881"/>
      <c r="D8" s="177"/>
      <c r="E8" s="178"/>
    </row>
    <row r="11" s="5759" customFormat="1" customHeight="1" ht="17.25">
      <c r="A11" s="1879" t="s">
        <v>1912</v>
      </c>
    </row>
    <row r="13" s="3473" customFormat="1" customHeight="1" ht="15">
      <c r="A13" s="2281">
        <v>1</v>
      </c>
      <c r="B13" s="1224"/>
      <c r="C13" s="865" t="s">
        <v>533</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6188"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6188" customFormat="1" customHeight="1" ht="15">
      <c r="A15" s="2281"/>
      <c r="B15" s="1224"/>
      <c r="C15" s="476"/>
      <c r="D15" s="865"/>
      <c r="E15" s="485"/>
      <c r="F15" s="241"/>
      <c r="G15" s="479" t="s">
        <v>103</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5759" customFormat="1" customHeight="1" ht="17.25">
      <c r="A17" s="1879" t="s">
        <v>1913</v>
      </c>
    </row>
    <row r="19" s="6188" customFormat="1" customHeight="1" ht="15">
      <c r="A19" s="1946"/>
      <c r="B19" s="1430">
        <v>1</v>
      </c>
      <c r="C19" s="1430"/>
      <c r="D19" s="864" t="s">
        <v>533</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6188" customFormat="1" customHeight="1" ht="15">
      <c r="A21" s="1879" t="s">
        <v>1914</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6188" customFormat="1" customHeight="1" ht="15">
      <c r="U22" s="249"/>
    </row>
    <row s="6011" customFormat="1" customHeight="1" ht="15">
      <c r="A23" s="487"/>
      <c r="B23" s="487"/>
      <c r="C23" s="1792" t="s">
        <v>533</v>
      </c>
      <c r="D23" s="2172" t="s">
        <v>110</v>
      </c>
      <c r="E23" s="2173"/>
      <c r="F23" s="2171" t="s">
        <v>19</v>
      </c>
      <c r="G23" s="2621"/>
      <c r="H23" s="2191">
        <v>1</v>
      </c>
      <c r="I23" s="2623" t="str">
        <f>IF(U23="","",INDEX(TERRITORY_MR_LIST,MATCH(U23,TERRITORY_LIST_ID,0)))</f>
        <v/>
      </c>
      <c r="J23" s="2171" t="s">
        <v>19</v>
      </c>
      <c r="K23" s="896"/>
      <c r="L23" s="1846" t="s">
        <v>110</v>
      </c>
      <c r="M23" s="667"/>
      <c r="N23" s="668"/>
      <c r="O23" s="668"/>
      <c r="P23" s="668"/>
      <c r="Q23" s="668"/>
      <c r="R23" s="668"/>
      <c r="S23" s="668"/>
      <c r="T23" s="668"/>
      <c r="U23" s="669"/>
      <c r="V23" s="668"/>
      <c r="W23" s="668"/>
      <c r="X23" s="659"/>
      <c r="Y23" s="659" t="s">
        <v>119</v>
      </c>
      <c r="Z23" s="659">
        <v>1705000</v>
      </c>
      <c r="AA23" s="659"/>
      <c r="AB23" s="659"/>
      <c r="AC23" s="659"/>
      <c r="AD23" s="659"/>
      <c r="AE23" s="659"/>
      <c r="AF23" s="659"/>
      <c r="AG23" s="659"/>
      <c r="AH23" s="659"/>
      <c r="AI23" s="659"/>
      <c r="AJ23" s="659"/>
      <c r="AK23" s="659"/>
      <c r="AL23" s="659"/>
    </row>
    <row s="6011" customFormat="1" customHeight="1" ht="15">
      <c r="A24" s="487"/>
      <c r="B24" s="487"/>
      <c r="C24" s="240"/>
      <c r="D24" s="2172"/>
      <c r="E24" s="2174"/>
      <c r="F24" s="2171"/>
      <c r="G24" s="2622"/>
      <c r="H24" s="2191"/>
      <c r="I24" s="2624"/>
      <c r="J24" s="2171"/>
      <c r="K24" s="485"/>
      <c r="L24" s="241"/>
      <c r="M24" s="671" t="s">
        <v>120</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6011" customFormat="1" customHeight="1" ht="15">
      <c r="A25" s="487"/>
      <c r="B25" s="487"/>
      <c r="C25" s="240"/>
      <c r="D25" s="2172"/>
      <c r="E25" s="2175"/>
      <c r="F25" s="2171"/>
      <c r="G25" s="485"/>
      <c r="H25" s="241"/>
      <c r="I25" s="644" t="s">
        <v>121</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6188" customFormat="1" customHeight="1" ht="15">
      <c r="U26" s="249"/>
    </row>
    <row s="6188" customFormat="1" customHeight="1" ht="15">
      <c r="A27" s="1879" t="s">
        <v>1915</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6188" customFormat="1" customHeight="1" ht="15">
      <c r="U28" s="249"/>
    </row>
    <row s="6011" customFormat="1" customHeight="1" ht="15">
      <c r="A29" s="487"/>
      <c r="B29" s="487"/>
      <c r="C29" s="240"/>
      <c r="D29" s="1885"/>
      <c r="E29" s="1885"/>
      <c r="F29" s="1885"/>
      <c r="G29" s="2625" t="s">
        <v>533</v>
      </c>
      <c r="H29" s="2167">
        <v>1</v>
      </c>
      <c r="I29" s="2626" t="str">
        <f>IF(U29="","",INDEX(TERRITORY_MR_LIST,MATCH(U29,TERRITORY_LIST_ID,0)))</f>
        <v/>
      </c>
      <c r="J29" s="2171" t="s">
        <v>19</v>
      </c>
      <c r="K29" s="896"/>
      <c r="L29" s="1846" t="s">
        <v>110</v>
      </c>
      <c r="M29" s="667"/>
      <c r="N29" s="668"/>
      <c r="O29" s="668"/>
      <c r="P29" s="668"/>
      <c r="Q29" s="668"/>
      <c r="R29" s="668"/>
      <c r="S29" s="668"/>
      <c r="T29" s="668"/>
      <c r="U29" s="669"/>
      <c r="V29" s="668"/>
      <c r="W29" s="668"/>
      <c r="X29" s="659"/>
      <c r="Y29" s="659" t="s">
        <v>119</v>
      </c>
      <c r="Z29" s="659">
        <v>1705000</v>
      </c>
      <c r="AA29" s="659"/>
      <c r="AB29" s="659"/>
      <c r="AC29" s="659"/>
      <c r="AD29" s="659"/>
      <c r="AE29" s="659"/>
      <c r="AF29" s="659"/>
      <c r="AG29" s="659"/>
      <c r="AH29" s="659"/>
      <c r="AI29" s="659"/>
      <c r="AJ29" s="659"/>
      <c r="AK29" s="659"/>
      <c r="AL29" s="659"/>
    </row>
    <row s="6011" customFormat="1" customHeight="1" ht="15">
      <c r="A30" s="487"/>
      <c r="B30" s="487"/>
      <c r="C30" s="240"/>
      <c r="D30" s="1885"/>
      <c r="E30" s="1885"/>
      <c r="F30" s="1885"/>
      <c r="G30" s="2625"/>
      <c r="H30" s="2167"/>
      <c r="I30" s="2626"/>
      <c r="J30" s="2171"/>
      <c r="K30" s="485"/>
      <c r="L30" s="241"/>
      <c r="M30" s="671" t="s">
        <v>120</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6188" customFormat="1" customHeight="1" ht="15">
      <c r="U31" s="249"/>
    </row>
    <row s="6188" customFormat="1" customHeight="1" ht="15">
      <c r="A32" s="1879" t="s">
        <v>1916</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6188" customFormat="1" customHeight="1" ht="15">
      <c r="U33" s="249"/>
    </row>
    <row s="6011" customFormat="1" customHeight="1" ht="15">
      <c r="A34" s="487"/>
      <c r="B34" s="487"/>
      <c r="C34" s="240"/>
      <c r="D34" s="1885"/>
      <c r="E34" s="1885"/>
      <c r="F34" s="1885"/>
      <c r="G34" s="1885"/>
      <c r="H34" s="1885"/>
      <c r="I34" s="1885"/>
      <c r="J34" s="1885"/>
      <c r="K34" s="1863" t="s">
        <v>533</v>
      </c>
      <c r="L34" s="1793" t="s">
        <v>110</v>
      </c>
      <c r="M34" s="875"/>
      <c r="N34" s="876"/>
      <c r="O34" s="668"/>
      <c r="P34" s="668"/>
      <c r="Q34" s="668"/>
      <c r="R34" s="668"/>
      <c r="S34" s="668"/>
      <c r="T34" s="668"/>
      <c r="U34" s="669"/>
      <c r="V34" s="668"/>
      <c r="W34" s="668"/>
      <c r="X34" s="659"/>
      <c r="Y34" s="659" t="s">
        <v>119</v>
      </c>
      <c r="Z34" s="659">
        <v>1705000</v>
      </c>
      <c r="AA34" s="659"/>
      <c r="AB34" s="659"/>
      <c r="AC34" s="659"/>
      <c r="AD34" s="659"/>
      <c r="AE34" s="659"/>
      <c r="AF34" s="659"/>
      <c r="AG34" s="659"/>
      <c r="AH34" s="659"/>
      <c r="AI34" s="659"/>
      <c r="AJ34" s="659"/>
      <c r="AK34" s="659"/>
      <c r="AL34" s="659"/>
    </row>
    <row s="6188" customFormat="1" customHeight="1" ht="15">
      <c r="U35" s="249"/>
    </row>
    <row s="6188" customFormat="1" customHeight="1" ht="15">
      <c r="U36" s="249"/>
    </row>
    <row s="5759" customFormat="1" customHeight="1" ht="11.25">
      <c r="A37" s="1879" t="s">
        <v>1917</v>
      </c>
    </row>
    <row customHeight="1" ht="11.25"/>
    <row s="3324" customFormat="1" customHeight="1" ht="22.5">
      <c r="A39" s="1855"/>
      <c r="B39" s="521"/>
      <c r="C39" s="923"/>
      <c r="D39" s="504"/>
      <c r="E39" s="924"/>
      <c r="F39" s="1876"/>
      <c r="G39" s="1886"/>
      <c r="H39" s="539"/>
    </row>
    <row customHeight="1" ht="11.25"/>
    <row s="5759" customFormat="1" customHeight="1" ht="11.25">
      <c r="A41" s="1879" t="s">
        <v>1918</v>
      </c>
    </row>
    <row customHeight="1" ht="11.25"/>
    <row s="3324" customFormat="1" customHeight="1" ht="22.5">
      <c r="A43" s="521"/>
      <c r="B43" s="521"/>
      <c r="C43" s="521"/>
      <c r="D43" s="504"/>
      <c r="E43" s="924"/>
      <c r="F43" s="925"/>
      <c r="G43" s="1886"/>
      <c r="H43" s="539"/>
    </row>
    <row customHeight="1" ht="11.25"/>
    <row s="5759" customFormat="1" customHeight="1" ht="11.25">
      <c r="A45" s="1879" t="s">
        <v>1919</v>
      </c>
    </row>
    <row customHeight="1" ht="11.25"/>
    <row s="3324" customFormat="1" customHeight="1" ht="24">
      <c r="A47" s="2266" t="s">
        <v>317</v>
      </c>
      <c r="B47" s="566"/>
      <c r="C47" s="2277"/>
      <c r="D47" s="509" t="str">
        <f>A47</f>
        <v>5.1</v>
      </c>
      <c r="E47" s="506" t="s">
        <v>318</v>
      </c>
      <c r="F47" s="2040" t="s">
        <v>310</v>
      </c>
      <c r="G47" s="508" t="s">
        <v>319</v>
      </c>
      <c r="H47" s="539"/>
      <c r="I47" s="916"/>
    </row>
    <row s="3324" customFormat="1" customHeight="1" ht="22.5">
      <c r="A48" s="2266"/>
      <c r="B48" s="566"/>
      <c r="C48" s="2277"/>
      <c r="D48" s="504" t="str">
        <f>D47&amp;".1"</f>
        <v>5.1.1</v>
      </c>
      <c r="E48" s="503" t="s">
        <v>320</v>
      </c>
      <c r="F48" s="2041" t="s">
        <v>28</v>
      </c>
      <c r="G48" s="538"/>
      <c r="H48" s="539"/>
      <c r="I48" s="916"/>
    </row>
    <row s="3324" customFormat="1" customHeight="1" ht="22.5">
      <c r="A49" s="2266"/>
      <c r="B49" s="566"/>
      <c r="C49" s="2277"/>
      <c r="D49" s="504" t="str">
        <f>D47&amp;".2"</f>
        <v>5.1.2</v>
      </c>
      <c r="E49" s="503" t="s">
        <v>321</v>
      </c>
      <c r="F49" s="1796" t="s">
        <v>28</v>
      </c>
      <c r="G49" s="508" t="s">
        <v>322</v>
      </c>
      <c r="H49" s="539"/>
      <c r="I49" s="916"/>
    </row>
    <row s="3324" customFormat="1" customHeight="1" ht="22.5">
      <c r="A50" s="2266"/>
      <c r="B50" s="566"/>
      <c r="C50" s="2277"/>
      <c r="D50" s="504" t="str">
        <f>D47&amp;".3"</f>
        <v>5.1.3</v>
      </c>
      <c r="E50" s="503" t="s">
        <v>323</v>
      </c>
      <c r="F50" s="2041" t="s">
        <v>28</v>
      </c>
      <c r="G50" s="538"/>
      <c r="H50" s="539"/>
      <c r="I50" s="916"/>
    </row>
    <row s="3324" customFormat="1" customHeight="1" ht="22.5">
      <c r="A51" s="2266"/>
      <c r="B51" s="566"/>
      <c r="C51" s="2277"/>
      <c r="D51" s="504" t="str">
        <f>D47&amp;".4"</f>
        <v>5.1.4</v>
      </c>
      <c r="E51" s="503" t="s">
        <v>324</v>
      </c>
      <c r="F51" s="2041" t="s">
        <v>28</v>
      </c>
      <c r="G51" s="508" t="s">
        <v>325</v>
      </c>
      <c r="H51" s="539"/>
      <c r="I51" s="916"/>
    </row>
    <row r="54" s="5759" customFormat="1" customHeight="1" ht="17.25">
      <c r="A54" s="1879" t="s">
        <v>1920</v>
      </c>
    </row>
    <row r="56" s="3426" customFormat="1" customHeight="1" ht="18.75">
      <c r="A56" s="153"/>
      <c r="B56" s="1887"/>
      <c r="C56" s="1887"/>
      <c r="D56" s="1888"/>
      <c r="E56" s="1873"/>
      <c r="F56" s="932">
        <v>13</v>
      </c>
      <c r="G56" s="931"/>
      <c r="H56" s="857"/>
      <c r="I56" s="855"/>
      <c r="J56" s="584" t="s">
        <v>62</v>
      </c>
      <c r="K56" s="1889" t="s">
        <v>28</v>
      </c>
      <c r="L56" s="153"/>
      <c r="M56" s="1700"/>
      <c r="N56" s="1700"/>
      <c r="O56" s="1700"/>
      <c r="P56" s="580" t="s">
        <v>396</v>
      </c>
      <c r="Q56" s="580" t="s">
        <v>397</v>
      </c>
      <c r="R56" s="581" t="s">
        <v>398</v>
      </c>
      <c r="S56" s="1700" t="s">
        <v>399</v>
      </c>
      <c r="T56" s="1700"/>
      <c r="U56" s="1700"/>
      <c r="V56" s="1700"/>
    </row>
    <row r="58" s="5759" customFormat="1" customHeight="1" ht="11.25">
      <c r="A58" s="1879" t="s">
        <v>1921</v>
      </c>
    </row>
    <row r="60" s="5468" customFormat="1" customHeight="1" ht="14.25">
      <c r="C60" s="1752"/>
      <c r="D60" s="1933"/>
      <c r="E60" s="1841" t="s">
        <v>28</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385</v>
      </c>
      <c r="AQ60" s="1688" t="s">
        <v>385</v>
      </c>
      <c r="AR60" s="1700"/>
      <c r="AS60" s="1700"/>
    </row>
    <row r="62" s="5759" customFormat="1" customHeight="1" ht="11.25">
      <c r="A62" s="1879" t="s">
        <v>1922</v>
      </c>
    </row>
    <row r="64" s="5930" customFormat="1" customHeight="1" ht="15">
      <c r="A64" s="209" t="s">
        <v>91</v>
      </c>
      <c r="B64" s="189" t="s">
        <v>28</v>
      </c>
      <c r="C64" s="1890"/>
      <c r="D64" s="192"/>
      <c r="E64" s="445"/>
      <c r="F64" s="445"/>
      <c r="G64" s="1867"/>
      <c r="H64" s="1889"/>
      <c r="I64" s="1868"/>
      <c r="K64" s="336"/>
      <c r="L64" s="337"/>
    </row>
    <row r="66" s="5759" customFormat="1" customHeight="1" ht="11.25">
      <c r="A66" s="1879" t="s">
        <v>1923</v>
      </c>
    </row>
    <row r="68" s="5468" customFormat="1" customHeight="1" ht="14.25">
      <c r="A68" s="407"/>
      <c r="B68" s="1224"/>
      <c r="C68" s="440"/>
      <c r="D68" s="1874"/>
      <c r="E68" s="950"/>
      <c r="F68" s="1889"/>
      <c r="G68" s="153"/>
      <c r="I68" s="1688"/>
      <c r="J68" s="1688"/>
    </row>
    <row r="70" s="5759" customFormat="1" customHeight="1" ht="11.25">
      <c r="A70" s="1879" t="s">
        <v>1924</v>
      </c>
    </row>
    <row r="72" s="5468" customFormat="1" customHeight="1" ht="27">
      <c r="A72" s="1230"/>
      <c r="B72" s="1230"/>
      <c r="C72" s="1230"/>
      <c r="D72" s="1224"/>
      <c r="E72" s="1891"/>
      <c r="F72" s="2645"/>
      <c r="G72" s="2646"/>
      <c r="H72" s="2647" t="s">
        <v>62</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62</v>
      </c>
      <c r="Z72" s="1872"/>
      <c r="AA72" s="1856">
        <v>1</v>
      </c>
      <c r="AB72" s="1306"/>
      <c r="AD72" s="1700" t="s">
        <v>1925</v>
      </c>
    </row>
    <row s="546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1926</v>
      </c>
    </row>
    <row r="75" s="5759" customFormat="1" customHeight="1" ht="11.25">
      <c r="A75" s="1879" t="s">
        <v>1927</v>
      </c>
    </row>
    <row r="77" s="546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1925</v>
      </c>
    </row>
    <row r="79" s="5759" customFormat="1" customHeight="1" ht="11.25">
      <c r="A79" s="1879" t="s">
        <v>1928</v>
      </c>
    </row>
    <row customHeight="1" ht="17.25"/>
    <row s="546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5468" customFormat="1" customHeight="1" ht="0.75">
      <c r="A82" s="1230"/>
      <c r="B82" s="1230"/>
      <c r="C82" s="1230"/>
      <c r="D82" s="1224"/>
      <c r="E82" s="1234"/>
      <c r="F82" s="2600"/>
      <c r="G82" s="2579"/>
      <c r="H82" s="2604" t="s">
        <v>380</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546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546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546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546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5468" customFormat="1" customHeight="1" ht="12">
      <c r="A87" s="1230"/>
      <c r="B87" s="1230"/>
      <c r="C87" s="1230"/>
      <c r="D87" s="1224"/>
      <c r="E87" s="1234"/>
      <c r="F87" s="2601"/>
      <c r="G87" s="1254"/>
      <c r="H87" s="1254"/>
      <c r="I87" s="2599" t="s">
        <v>1929</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5759" customFormat="1" customHeight="1" ht="11.25">
      <c r="A89" s="1879" t="s">
        <v>1930</v>
      </c>
    </row>
    <row r="91" s="5468" customFormat="1" customHeight="1" ht="11.25">
      <c r="A91" s="1230"/>
      <c r="B91" s="1230"/>
      <c r="C91" s="1230"/>
      <c r="D91" s="1224"/>
      <c r="E91" s="1234"/>
      <c r="F91" s="1893"/>
      <c r="G91" s="1894"/>
      <c r="H91" s="1894"/>
      <c r="I91" s="1828"/>
      <c r="J91" s="1828"/>
      <c r="K91" s="1895"/>
      <c r="L91" s="1828"/>
      <c r="M91" s="1894"/>
      <c r="N91" s="2572"/>
      <c r="O91" s="2655">
        <v>1</v>
      </c>
      <c r="P91" s="2574" t="s">
        <v>19</v>
      </c>
      <c r="Q91" s="2577" t="s">
        <v>28</v>
      </c>
      <c r="R91" s="2577" t="s">
        <v>28</v>
      </c>
      <c r="S91" s="2577" t="s">
        <v>28</v>
      </c>
      <c r="T91" s="2577" t="s">
        <v>28</v>
      </c>
      <c r="U91" s="2577" t="s">
        <v>28</v>
      </c>
      <c r="V91" s="2577" t="s">
        <v>28</v>
      </c>
      <c r="W91" s="2577" t="s">
        <v>28</v>
      </c>
      <c r="X91" s="2577" t="s">
        <v>28</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546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546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1931</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5759" customFormat="1" customHeight="1" ht="11.25">
      <c r="A95" s="1879" t="s">
        <v>1932</v>
      </c>
    </row>
    <row r="97" s="546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5759" customFormat="1" customHeight="1" ht="11.25">
      <c r="A99" s="1879" t="s">
        <v>1933</v>
      </c>
    </row>
    <row r="101" s="5468" customFormat="1" customHeight="1" ht="11.25">
      <c r="A101" s="1230"/>
      <c r="B101" s="1230"/>
      <c r="C101" s="1230"/>
      <c r="D101" s="1224"/>
      <c r="E101" s="1234"/>
      <c r="F101" s="1893"/>
      <c r="G101" s="1894"/>
      <c r="H101" s="2579" t="s">
        <v>110</v>
      </c>
      <c r="I101" s="2580"/>
      <c r="J101" s="2549"/>
      <c r="K101" s="2581"/>
      <c r="L101" s="2171" t="s">
        <v>19</v>
      </c>
      <c r="M101" s="2172"/>
      <c r="N101" s="2050"/>
      <c r="O101" s="1241" t="s">
        <v>380</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546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28</v>
      </c>
      <c r="R102" s="2577" t="s">
        <v>28</v>
      </c>
      <c r="S102" s="2577" t="s">
        <v>28</v>
      </c>
      <c r="T102" s="2577" t="s">
        <v>28</v>
      </c>
      <c r="U102" s="2577" t="s">
        <v>28</v>
      </c>
      <c r="V102" s="2577" t="s">
        <v>28</v>
      </c>
      <c r="W102" s="2577" t="s">
        <v>28</v>
      </c>
      <c r="X102" s="2577" t="s">
        <v>28</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546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546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1931</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5468" customFormat="1" customHeight="1" ht="11.25">
      <c r="A105" s="1230"/>
      <c r="B105" s="1230"/>
      <c r="C105" s="1230"/>
      <c r="D105" s="1224"/>
      <c r="E105" s="1234"/>
      <c r="F105" s="1893"/>
      <c r="G105" s="1894"/>
      <c r="H105" s="2579"/>
      <c r="I105" s="2580"/>
      <c r="J105" s="2549"/>
      <c r="K105" s="2581"/>
      <c r="L105" s="2171"/>
      <c r="M105" s="2172"/>
      <c r="N105" s="1239"/>
      <c r="O105" s="1240"/>
      <c r="P105" s="1232" t="s">
        <v>1934</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5759" customFormat="1" customHeight="1" ht="11.25">
      <c r="A107" s="1879" t="s">
        <v>1935</v>
      </c>
    </row>
    <row customHeight="1" ht="17.25"/>
    <row s="5313" customFormat="1" customHeight="1" ht="21">
      <c r="A109" s="1231"/>
      <c r="B109" s="1004"/>
      <c r="D109" s="988"/>
      <c r="E109" s="1003" t="s">
        <v>28</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5313"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5313" customFormat="1" customHeight="1" ht="12">
      <c r="A111" s="988"/>
      <c r="B111" s="987"/>
      <c r="C111" s="988"/>
      <c r="D111" s="988"/>
      <c r="E111" s="988"/>
      <c r="F111" s="1277"/>
      <c r="G111" s="1864" t="s">
        <v>1936</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5759" customFormat="1" customHeight="1" ht="11.25">
      <c r="A113" s="1879" t="s">
        <v>1937</v>
      </c>
    </row>
    <row r="115" s="6188" customFormat="1" customHeight="1" ht="15">
      <c r="A115" s="687"/>
      <c r="B115" s="688"/>
      <c r="C115" s="688"/>
      <c r="D115" s="2642" t="s">
        <v>110</v>
      </c>
      <c r="E115" s="2441" t="s">
        <v>106</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28</v>
      </c>
      <c r="AF115" s="694"/>
      <c r="AG115" s="695" t="s">
        <v>613</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6188" customFormat="1" customHeight="1" ht="15">
      <c r="A116" s="687"/>
      <c r="B116" s="688"/>
      <c r="C116" s="688"/>
      <c r="D116" s="2643"/>
      <c r="E116" s="2441" t="s">
        <v>568</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6188" customFormat="1" customHeight="1" ht="15">
      <c r="A117" s="687"/>
      <c r="B117" s="688"/>
      <c r="C117" s="688"/>
      <c r="D117" s="2643"/>
      <c r="E117" s="2441" t="s">
        <v>569</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6188" customFormat="1" customHeight="1" ht="24.75">
      <c r="A118" s="1870"/>
      <c r="B118" s="1224"/>
      <c r="C118" s="476"/>
      <c r="D118" s="2643"/>
      <c r="E118" s="2440" t="s">
        <v>614</v>
      </c>
      <c r="F118" s="2440"/>
      <c r="G118" s="2440"/>
      <c r="H118" s="2440"/>
      <c r="I118" s="2440"/>
      <c r="J118" s="2440"/>
      <c r="K118" s="2440"/>
      <c r="L118" s="2440"/>
      <c r="M118" s="2440"/>
      <c r="N118" s="2440"/>
      <c r="O118" s="2440"/>
      <c r="P118" s="2440"/>
      <c r="Q118" s="622">
        <f>SUMIF(T119:T120,"i",Q119:Q120)</f>
        <v>0</v>
      </c>
      <c r="R118" s="1081"/>
      <c r="S118" s="1862" t="s">
        <v>615</v>
      </c>
      <c r="T118" s="781" t="s">
        <v>616</v>
      </c>
      <c r="U118" s="2438">
        <v>1</v>
      </c>
      <c r="V118" s="2438" t="s">
        <v>579</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6188"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6188" customFormat="1" customHeight="1" ht="11.25">
      <c r="A120" s="1870"/>
      <c r="B120" s="1224"/>
      <c r="C120" s="476"/>
      <c r="D120" s="2643"/>
      <c r="E120" s="713" t="s">
        <v>28</v>
      </c>
      <c r="F120" s="1232" t="s">
        <v>28</v>
      </c>
      <c r="G120" s="1232" t="s">
        <v>1938</v>
      </c>
      <c r="H120" s="715" t="s">
        <v>28</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6188" customFormat="1" customHeight="1" ht="24.75">
      <c r="A121" s="1870"/>
      <c r="B121" s="1224"/>
      <c r="C121" s="476"/>
      <c r="D121" s="2643"/>
      <c r="E121" s="2440" t="s">
        <v>617</v>
      </c>
      <c r="F121" s="2440"/>
      <c r="G121" s="2440"/>
      <c r="H121" s="2440"/>
      <c r="I121" s="2440"/>
      <c r="J121" s="2440"/>
      <c r="K121" s="2440"/>
      <c r="L121" s="2440"/>
      <c r="M121" s="2440"/>
      <c r="N121" s="2440"/>
      <c r="O121" s="2440"/>
      <c r="P121" s="2440"/>
      <c r="Q121" s="622">
        <f>SUMIF(T122:T123,"i",Q122:Q123)</f>
        <v>0</v>
      </c>
      <c r="R121" s="1081"/>
      <c r="S121" s="1862" t="s">
        <v>618</v>
      </c>
      <c r="T121" s="781" t="s">
        <v>616</v>
      </c>
      <c r="U121" s="2438">
        <v>1</v>
      </c>
      <c r="V121" s="2438" t="s">
        <v>579</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6188"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6188" customFormat="1" customHeight="1" ht="11.25">
      <c r="A123" s="1870"/>
      <c r="B123" s="1224"/>
      <c r="C123" s="476"/>
      <c r="D123" s="2644"/>
      <c r="E123" s="713" t="s">
        <v>28</v>
      </c>
      <c r="F123" s="1232" t="s">
        <v>28</v>
      </c>
      <c r="G123" s="1232" t="s">
        <v>1938</v>
      </c>
      <c r="H123" s="715" t="s">
        <v>28</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5759" customFormat="1" customHeight="1" ht="11.25">
      <c r="A125" s="1879" t="s">
        <v>1939</v>
      </c>
    </row>
    <row r="127" s="6188" customFormat="1" customHeight="1" ht="15">
      <c r="A127" s="687"/>
      <c r="B127" s="688"/>
      <c r="C127" s="688"/>
      <c r="D127" s="2642" t="s">
        <v>110</v>
      </c>
      <c r="E127" s="2441" t="s">
        <v>106</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28</v>
      </c>
      <c r="AF127" s="694"/>
      <c r="AG127" s="695" t="s">
        <v>613</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6188" customFormat="1" customHeight="1" ht="15">
      <c r="A128" s="687"/>
      <c r="B128" s="688"/>
      <c r="C128" s="688"/>
      <c r="D128" s="2643"/>
      <c r="E128" s="2441" t="s">
        <v>568</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6188" customFormat="1" customHeight="1" ht="15">
      <c r="A129" s="687"/>
      <c r="B129" s="688"/>
      <c r="C129" s="688"/>
      <c r="D129" s="2643"/>
      <c r="E129" s="2441" t="s">
        <v>569</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6188" customFormat="1" customHeight="1" ht="24.75">
      <c r="A130" s="1870"/>
      <c r="B130" s="1224"/>
      <c r="C130" s="476"/>
      <c r="D130" s="2643"/>
      <c r="E130" s="2440" t="s">
        <v>614</v>
      </c>
      <c r="F130" s="2440"/>
      <c r="G130" s="2440"/>
      <c r="H130" s="2440"/>
      <c r="I130" s="2440"/>
      <c r="J130" s="2440"/>
      <c r="K130" s="2440"/>
      <c r="L130" s="2440"/>
      <c r="M130" s="2440"/>
      <c r="N130" s="2440"/>
      <c r="O130" s="2440"/>
      <c r="P130" s="2440"/>
      <c r="Q130" s="622">
        <f>SUMIF(T131:T132,"i",Q131:Q132)</f>
        <v>0</v>
      </c>
      <c r="R130" s="1081"/>
      <c r="S130" s="1862" t="s">
        <v>615</v>
      </c>
      <c r="T130" s="781" t="s">
        <v>616</v>
      </c>
      <c r="U130" s="2438">
        <v>1</v>
      </c>
      <c r="V130" s="2438" t="s">
        <v>579</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6188"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6188" customFormat="1" customHeight="1" ht="11.25">
      <c r="A132" s="1870"/>
      <c r="B132" s="1224"/>
      <c r="C132" s="476"/>
      <c r="D132" s="2643"/>
      <c r="E132" s="713" t="s">
        <v>28</v>
      </c>
      <c r="F132" s="1232" t="s">
        <v>28</v>
      </c>
      <c r="G132" s="1232" t="s">
        <v>1938</v>
      </c>
      <c r="H132" s="715" t="s">
        <v>28</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614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616</v>
      </c>
      <c r="U133" s="2438">
        <v>1</v>
      </c>
      <c r="V133" s="2438" t="s">
        <v>579</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614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614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5759" customFormat="1" customHeight="1" ht="11.25">
      <c r="A137" s="1879" t="s">
        <v>1940</v>
      </c>
    </row>
    <row r="139" s="6188" customFormat="1" customHeight="1" ht="45">
      <c r="A139" s="1870"/>
      <c r="B139" s="1224"/>
      <c r="C139" s="476"/>
      <c r="D139" s="153"/>
      <c r="E139" s="2636"/>
      <c r="F139" s="2172" t="s">
        <v>110</v>
      </c>
      <c r="G139" s="2639" t="s">
        <v>28</v>
      </c>
      <c r="H139" s="353"/>
      <c r="I139" s="701" t="s">
        <v>110</v>
      </c>
      <c r="J139" s="1871" t="s">
        <v>1941</v>
      </c>
      <c r="K139" s="702" t="s">
        <v>550</v>
      </c>
      <c r="L139" s="2288" t="s">
        <v>550</v>
      </c>
      <c r="M139" s="2641"/>
      <c r="N139" s="702" t="s">
        <v>550</v>
      </c>
      <c r="O139" s="702" t="s">
        <v>550</v>
      </c>
      <c r="P139" s="702" t="s">
        <v>550</v>
      </c>
      <c r="Q139" s="703">
        <f>SUM(Q140:Q142)</f>
        <v>0</v>
      </c>
      <c r="R139" s="703">
        <f>IF(R136=0,0,(Q136/R136)*100)</f>
        <v>0</v>
      </c>
      <c r="S139" s="2243"/>
      <c r="T139" s="781" t="s">
        <v>616</v>
      </c>
      <c r="U139" s="153"/>
      <c r="V139" s="153"/>
      <c r="AC139" s="153"/>
    </row>
    <row s="6188" customFormat="1" customHeight="1" ht="11.25">
      <c r="A140" s="1870"/>
      <c r="B140" s="1224"/>
      <c r="C140" s="476"/>
      <c r="D140" s="153"/>
      <c r="E140" s="2637"/>
      <c r="F140" s="2172"/>
      <c r="G140" s="2639"/>
      <c r="H140" s="2191"/>
      <c r="I140" s="2579" t="s">
        <v>1025</v>
      </c>
      <c r="J140" s="2633"/>
      <c r="K140" s="2634"/>
      <c r="L140" s="704"/>
      <c r="M140" s="705" t="s">
        <v>110</v>
      </c>
      <c r="N140" s="1859"/>
      <c r="O140" s="706"/>
      <c r="P140" s="707"/>
      <c r="Q140" s="706"/>
      <c r="R140" s="708">
        <v>0</v>
      </c>
      <c r="S140" s="2243"/>
      <c r="T140" s="781"/>
      <c r="U140" s="153"/>
      <c r="V140" s="153"/>
      <c r="AC140" s="153"/>
    </row>
    <row s="6188" customFormat="1" customHeight="1" ht="11.25">
      <c r="A141" s="1870"/>
      <c r="B141" s="1224"/>
      <c r="C141" s="476"/>
      <c r="D141" s="153"/>
      <c r="E141" s="2637"/>
      <c r="F141" s="2172"/>
      <c r="G141" s="2639"/>
      <c r="H141" s="2191"/>
      <c r="I141" s="2579"/>
      <c r="J141" s="2633"/>
      <c r="K141" s="2635"/>
      <c r="L141" s="709"/>
      <c r="M141" s="710"/>
      <c r="N141" s="711" t="s">
        <v>1942</v>
      </c>
      <c r="O141" s="711"/>
      <c r="P141" s="711"/>
      <c r="Q141" s="711"/>
      <c r="R141" s="712"/>
      <c r="S141" s="2243"/>
      <c r="T141" s="781"/>
      <c r="U141" s="153"/>
      <c r="V141" s="153"/>
      <c r="AC141" s="153"/>
    </row>
    <row s="6188" customFormat="1" customHeight="1" ht="11.25">
      <c r="A142" s="1870"/>
      <c r="B142" s="1224"/>
      <c r="C142" s="476"/>
      <c r="D142" s="153"/>
      <c r="E142" s="2638"/>
      <c r="F142" s="2172"/>
      <c r="G142" s="2640"/>
      <c r="H142" s="709" t="s">
        <v>28</v>
      </c>
      <c r="I142" s="710"/>
      <c r="J142" s="711" t="s">
        <v>1943</v>
      </c>
      <c r="K142" s="711"/>
      <c r="L142" s="711"/>
      <c r="M142" s="711"/>
      <c r="N142" s="711"/>
      <c r="O142" s="711"/>
      <c r="P142" s="711"/>
      <c r="Q142" s="711"/>
      <c r="R142" s="712"/>
      <c r="S142" s="2243"/>
      <c r="T142" s="781"/>
      <c r="U142" s="153"/>
      <c r="V142" s="153"/>
      <c r="AC142" s="153"/>
    </row>
    <row r="147" s="6188" customFormat="1" customHeight="1" ht="11.25">
      <c r="A147" s="1870"/>
      <c r="B147" s="1224"/>
      <c r="C147" s="476"/>
      <c r="D147" s="153"/>
      <c r="E147" s="1894"/>
      <c r="F147" s="1894"/>
      <c r="G147" s="1894"/>
      <c r="H147" s="2191"/>
      <c r="I147" s="2579" t="s">
        <v>1025</v>
      </c>
      <c r="J147" s="2633"/>
      <c r="K147" s="2634"/>
      <c r="L147" s="704"/>
      <c r="M147" s="705" t="s">
        <v>110</v>
      </c>
      <c r="N147" s="1859"/>
      <c r="O147" s="706"/>
      <c r="P147" s="707"/>
      <c r="Q147" s="706"/>
      <c r="R147" s="708">
        <v>0</v>
      </c>
      <c r="S147" s="153"/>
      <c r="T147" s="781"/>
      <c r="U147" s="153"/>
      <c r="V147" s="153"/>
      <c r="AC147" s="153"/>
    </row>
    <row s="6188" customFormat="1" customHeight="1" ht="11.25">
      <c r="A148" s="1870"/>
      <c r="B148" s="1224"/>
      <c r="C148" s="476"/>
      <c r="D148" s="153"/>
      <c r="E148" s="1894"/>
      <c r="F148" s="1894"/>
      <c r="G148" s="1894"/>
      <c r="H148" s="2191"/>
      <c r="I148" s="2579"/>
      <c r="J148" s="2633"/>
      <c r="K148" s="2635"/>
      <c r="L148" s="709"/>
      <c r="M148" s="710"/>
      <c r="N148" s="711" t="s">
        <v>1942</v>
      </c>
      <c r="O148" s="711"/>
      <c r="P148" s="711"/>
      <c r="Q148" s="711"/>
      <c r="R148" s="712"/>
      <c r="S148" s="153"/>
      <c r="T148" s="781"/>
      <c r="U148" s="153"/>
      <c r="V148" s="153"/>
      <c r="AC148" s="153"/>
    </row>
    <row r="150" s="6188" customFormat="1" customHeight="1" ht="11.25">
      <c r="A150" s="1870"/>
      <c r="B150" s="1224"/>
      <c r="C150" s="476"/>
      <c r="D150" s="153"/>
      <c r="E150" s="1901"/>
      <c r="F150" s="1899"/>
      <c r="G150" s="1899"/>
      <c r="H150" s="1902"/>
      <c r="I150" s="1894"/>
      <c r="J150" s="1895"/>
      <c r="K150" s="1895"/>
      <c r="L150" s="704"/>
      <c r="M150" s="705" t="s">
        <v>110</v>
      </c>
      <c r="N150" s="1859"/>
      <c r="O150" s="706"/>
      <c r="P150" s="707"/>
      <c r="Q150" s="706"/>
      <c r="R150" s="708">
        <v>0</v>
      </c>
      <c r="S150" s="153"/>
      <c r="T150" s="781"/>
      <c r="U150" s="153"/>
      <c r="V150" s="153"/>
      <c r="AC150" s="153"/>
    </row>
    <row r="152" s="5759" customFormat="1" customHeight="1" ht="17.25">
      <c r="A152" s="1879" t="s">
        <v>1944</v>
      </c>
    </row>
    <row customHeight="1" ht="17.25">
      <c r="G153" s="1903"/>
      <c r="H153" s="1903"/>
      <c r="I153" s="1903"/>
      <c r="M153" s="1899"/>
    </row>
    <row s="6011" customFormat="1" customHeight="1" ht="17.25">
      <c r="A154" s="1904"/>
      <c r="C154" s="1906"/>
      <c r="D154" s="2593"/>
      <c r="E154" s="2207"/>
      <c r="F154" s="2209"/>
      <c r="G154" s="2595"/>
      <c r="H154" s="2593"/>
      <c r="I154" s="2593">
        <v>1</v>
      </c>
      <c r="J154" s="2565"/>
      <c r="K154" s="2249" t="s">
        <v>62</v>
      </c>
      <c r="L154" s="2172"/>
      <c r="M154" s="2172" t="s">
        <v>110</v>
      </c>
      <c r="N154" s="2568" t="str">
        <f>IF(Z154="","",INDEX(TERRITORY_MR_LIST,MATCH(Z154,TERRITORY_LIST_ID,0)))</f>
        <v/>
      </c>
      <c r="O154" s="2249" t="s">
        <v>62</v>
      </c>
      <c r="P154" s="2172"/>
      <c r="Q154" s="2172" t="s">
        <v>110</v>
      </c>
      <c r="R154" s="2566" t="s">
        <v>28</v>
      </c>
      <c r="S154" s="2171" t="s">
        <v>62</v>
      </c>
      <c r="T154" s="1875"/>
      <c r="U154" s="1875" t="s">
        <v>110</v>
      </c>
      <c r="V154" s="1907" t="s">
        <v>28</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601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418</v>
      </c>
      <c r="W155" s="383"/>
      <c r="Y155" s="1323"/>
      <c r="Z155" s="1323"/>
      <c r="AA155" s="1323"/>
      <c r="AB155" s="1323"/>
      <c r="AC155" s="1323"/>
      <c r="AD155" s="1323"/>
      <c r="AE155" s="1323"/>
      <c r="AF155" s="1323"/>
      <c r="AG155" s="1323"/>
      <c r="AH155" s="1323"/>
      <c r="AI155" s="1323"/>
      <c r="AJ155" s="1323"/>
      <c r="AK155" s="1323"/>
    </row>
    <row s="6011" customFormat="1" customHeight="1" ht="17.25">
      <c r="A156" s="1904"/>
      <c r="C156" s="1909"/>
      <c r="D156" s="2567"/>
      <c r="E156" s="2594"/>
      <c r="F156" s="2210"/>
      <c r="G156" s="2596"/>
      <c r="H156" s="2567"/>
      <c r="I156" s="2567"/>
      <c r="J156" s="2597"/>
      <c r="K156" s="2250"/>
      <c r="L156" s="2567"/>
      <c r="M156" s="2567"/>
      <c r="N156" s="2569"/>
      <c r="O156" s="2176"/>
      <c r="P156" s="381"/>
      <c r="Q156" s="382"/>
      <c r="R156" s="382" t="s">
        <v>255</v>
      </c>
      <c r="S156" s="1910"/>
      <c r="T156" s="1910"/>
      <c r="U156" s="1910"/>
      <c r="V156" s="1910"/>
      <c r="W156" s="383"/>
      <c r="Y156" s="1323"/>
      <c r="Z156" s="1323"/>
      <c r="AA156" s="1323"/>
      <c r="AB156" s="1323"/>
      <c r="AC156" s="1323"/>
      <c r="AD156" s="1323"/>
      <c r="AE156" s="1323"/>
      <c r="AF156" s="1323"/>
      <c r="AG156" s="1323"/>
      <c r="AH156" s="1323"/>
      <c r="AI156" s="1323"/>
      <c r="AJ156" s="1323"/>
      <c r="AK156" s="1323"/>
    </row>
    <row s="6011" customFormat="1" customHeight="1" ht="17.25">
      <c r="A157" s="1904"/>
      <c r="C157" s="1909"/>
      <c r="D157" s="2567"/>
      <c r="E157" s="2594"/>
      <c r="F157" s="2210"/>
      <c r="G157" s="2596"/>
      <c r="H157" s="2567"/>
      <c r="I157" s="2567"/>
      <c r="J157" s="2597"/>
      <c r="K157" s="2176"/>
      <c r="L157" s="381"/>
      <c r="M157" s="382"/>
      <c r="N157" s="382" t="s">
        <v>256</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6011" customFormat="1" customHeight="1" ht="17.25">
      <c r="A158" s="1904"/>
      <c r="C158" s="1909"/>
      <c r="D158" s="2567"/>
      <c r="E158" s="2594"/>
      <c r="F158" s="2211"/>
      <c r="G158" s="2596"/>
      <c r="H158" s="381"/>
      <c r="I158" s="382"/>
      <c r="J158" s="382" t="s">
        <v>257</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6011" customFormat="1" customHeight="1" ht="17.25">
      <c r="A160" s="1904"/>
      <c r="C160" s="1906"/>
      <c r="D160" s="1894"/>
      <c r="E160" s="1911"/>
      <c r="F160" s="1848"/>
      <c r="G160" s="1912"/>
      <c r="H160" s="2593"/>
      <c r="I160" s="2593">
        <v>1</v>
      </c>
      <c r="J160" s="2565"/>
      <c r="K160" s="2249" t="s">
        <v>62</v>
      </c>
      <c r="L160" s="2172"/>
      <c r="M160" s="2172" t="s">
        <v>110</v>
      </c>
      <c r="N160" s="2568" t="str">
        <f>IF(Z160="","",INDEX(TERRITORY_MR_LIST,MATCH(Z160,TERRITORY_LIST_ID,0)))</f>
        <v/>
      </c>
      <c r="O160" s="2249" t="s">
        <v>62</v>
      </c>
      <c r="P160" s="2172"/>
      <c r="Q160" s="2172" t="s">
        <v>110</v>
      </c>
      <c r="R160" s="2566" t="s">
        <v>28</v>
      </c>
      <c r="S160" s="2171" t="s">
        <v>62</v>
      </c>
      <c r="T160" s="1875"/>
      <c r="U160" s="1875" t="s">
        <v>110</v>
      </c>
      <c r="V160" s="1907" t="s">
        <v>28</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601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418</v>
      </c>
      <c r="W161" s="383"/>
      <c r="Y161" s="1323"/>
      <c r="Z161" s="1323"/>
      <c r="AA161" s="1323"/>
      <c r="AB161" s="1323"/>
      <c r="AC161" s="1323"/>
      <c r="AD161" s="1323"/>
      <c r="AE161" s="1323"/>
      <c r="AF161" s="1323"/>
      <c r="AG161" s="1323"/>
      <c r="AH161" s="1323"/>
      <c r="AI161" s="1323"/>
      <c r="AJ161" s="1323"/>
      <c r="AK161" s="1323"/>
    </row>
    <row s="6011" customFormat="1" customHeight="1" ht="17.25">
      <c r="A162" s="1904"/>
      <c r="C162" s="1909"/>
      <c r="D162" s="1894"/>
      <c r="E162" s="1911"/>
      <c r="F162" s="1848"/>
      <c r="G162" s="1912"/>
      <c r="H162" s="2567"/>
      <c r="I162" s="2567"/>
      <c r="J162" s="2597"/>
      <c r="K162" s="2250"/>
      <c r="L162" s="2567"/>
      <c r="M162" s="2567"/>
      <c r="N162" s="2569"/>
      <c r="O162" s="2176"/>
      <c r="P162" s="381"/>
      <c r="Q162" s="382"/>
      <c r="R162" s="382" t="s">
        <v>255</v>
      </c>
      <c r="S162" s="1910"/>
      <c r="T162" s="1910"/>
      <c r="U162" s="1910"/>
      <c r="V162" s="1910"/>
      <c r="W162" s="383"/>
      <c r="Y162" s="1323"/>
      <c r="Z162" s="1323"/>
      <c r="AA162" s="1323"/>
      <c r="AB162" s="1323"/>
      <c r="AC162" s="1323"/>
      <c r="AD162" s="1323"/>
      <c r="AE162" s="1323"/>
      <c r="AF162" s="1323"/>
      <c r="AG162" s="1323"/>
      <c r="AH162" s="1323"/>
      <c r="AI162" s="1323"/>
      <c r="AJ162" s="1323"/>
      <c r="AK162" s="1323"/>
    </row>
    <row s="6011" customFormat="1" customHeight="1" ht="17.25">
      <c r="A163" s="1904"/>
      <c r="C163" s="1909"/>
      <c r="D163" s="1894"/>
      <c r="E163" s="1911"/>
      <c r="F163" s="1848"/>
      <c r="G163" s="1912"/>
      <c r="H163" s="2567"/>
      <c r="I163" s="2567"/>
      <c r="J163" s="2597"/>
      <c r="K163" s="2176"/>
      <c r="L163" s="381"/>
      <c r="M163" s="382"/>
      <c r="N163" s="382" t="s">
        <v>256</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6011" customFormat="1" customHeight="1" ht="17.25">
      <c r="A165" s="1904"/>
      <c r="C165" s="1906"/>
      <c r="D165" s="1894"/>
      <c r="E165" s="1911"/>
      <c r="F165" s="1848"/>
      <c r="G165" s="1912"/>
      <c r="H165" s="1894"/>
      <c r="I165" s="1894"/>
      <c r="J165" s="1913"/>
      <c r="K165" s="1824"/>
      <c r="L165" s="2172"/>
      <c r="M165" s="2172" t="s">
        <v>110</v>
      </c>
      <c r="N165" s="2568" t="str">
        <f>IF(Z165="","",INDEX(TERRITORY_MR_LIST,MATCH(Z165,TERRITORY_LIST_ID,0)))</f>
        <v/>
      </c>
      <c r="O165" s="2249" t="s">
        <v>62</v>
      </c>
      <c r="P165" s="2172"/>
      <c r="Q165" s="2172" t="s">
        <v>110</v>
      </c>
      <c r="R165" s="2566" t="s">
        <v>28</v>
      </c>
      <c r="S165" s="2171" t="s">
        <v>62</v>
      </c>
      <c r="T165" s="1875"/>
      <c r="U165" s="1875" t="s">
        <v>110</v>
      </c>
      <c r="V165" s="1907" t="s">
        <v>28</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601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418</v>
      </c>
      <c r="W166" s="383"/>
      <c r="Y166" s="1323"/>
      <c r="Z166" s="1323"/>
      <c r="AA166" s="1323"/>
      <c r="AB166" s="1323"/>
      <c r="AC166" s="1323"/>
      <c r="AD166" s="1323"/>
      <c r="AE166" s="1323"/>
      <c r="AF166" s="1323"/>
      <c r="AG166" s="1323"/>
      <c r="AH166" s="1323"/>
      <c r="AI166" s="1323"/>
      <c r="AJ166" s="1323"/>
      <c r="AK166" s="1323"/>
    </row>
    <row s="6011" customFormat="1" customHeight="1" ht="17.25">
      <c r="A167" s="1904"/>
      <c r="C167" s="1909"/>
      <c r="D167" s="1894"/>
      <c r="E167" s="1911"/>
      <c r="F167" s="1848"/>
      <c r="G167" s="1912"/>
      <c r="H167" s="1894"/>
      <c r="I167" s="1894"/>
      <c r="J167" s="1913"/>
      <c r="K167" s="1824"/>
      <c r="L167" s="2567"/>
      <c r="M167" s="2567"/>
      <c r="N167" s="2569"/>
      <c r="O167" s="2176"/>
      <c r="P167" s="381"/>
      <c r="Q167" s="382"/>
      <c r="R167" s="382" t="s">
        <v>255</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6011" customFormat="1" customHeight="1" ht="17.25">
      <c r="A169" s="1904"/>
      <c r="C169" s="1906"/>
      <c r="D169" s="1894"/>
      <c r="E169" s="1911"/>
      <c r="F169" s="1848"/>
      <c r="G169" s="1912"/>
      <c r="H169" s="1894"/>
      <c r="I169" s="1894"/>
      <c r="J169" s="1913"/>
      <c r="K169" s="1824"/>
      <c r="L169" s="1820"/>
      <c r="M169" s="1820"/>
      <c r="N169" s="2112"/>
      <c r="O169" s="1851"/>
      <c r="P169" s="2172"/>
      <c r="Q169" s="2172" t="s">
        <v>110</v>
      </c>
      <c r="R169" s="2566" t="s">
        <v>28</v>
      </c>
      <c r="S169" s="2171" t="s">
        <v>62</v>
      </c>
      <c r="T169" s="1875"/>
      <c r="U169" s="1875" t="s">
        <v>110</v>
      </c>
      <c r="V169" s="1907" t="s">
        <v>28</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601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418</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601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110</v>
      </c>
      <c r="V172" s="1907" t="s">
        <v>28</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5759" customFormat="1" customHeight="1" ht="17.25">
      <c r="A174" s="1879" t="s">
        <v>1945</v>
      </c>
    </row>
    <row customHeight="1" ht="17.25">
      <c r="G175" s="1903"/>
      <c r="H175" s="1903"/>
      <c r="I175" s="1903"/>
      <c r="M175" s="1899"/>
    </row>
    <row s="6011" customFormat="1" customHeight="1" ht="17.25">
      <c r="A176" s="1904"/>
      <c r="C176" s="1906"/>
      <c r="D176" s="2593"/>
      <c r="E176" s="2207"/>
      <c r="F176" s="2209"/>
      <c r="G176" s="2595"/>
      <c r="H176" s="2593"/>
      <c r="I176" s="2593">
        <v>1</v>
      </c>
      <c r="J176" s="2565"/>
      <c r="K176" s="2249" t="s">
        <v>62</v>
      </c>
      <c r="L176" s="2172"/>
      <c r="M176" s="2172" t="s">
        <v>110</v>
      </c>
      <c r="N176" s="2568" t="str">
        <f>IF(Z176="","",INDEX(TERRITORY_MR_LIST,MATCH(Z176,TERRITORY_LIST_ID,0)))</f>
        <v/>
      </c>
      <c r="O176" s="2249" t="s">
        <v>62</v>
      </c>
      <c r="P176" s="2172"/>
      <c r="Q176" s="2172" t="s">
        <v>110</v>
      </c>
      <c r="R176" s="2566" t="s">
        <v>28</v>
      </c>
      <c r="S176" s="2470" t="s">
        <v>19</v>
      </c>
      <c r="T176" s="1866"/>
      <c r="U176" s="1866" t="s">
        <v>110</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601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6011" customFormat="1" customHeight="1" ht="17.25">
      <c r="A178" s="1904"/>
      <c r="C178" s="1909"/>
      <c r="D178" s="2567"/>
      <c r="E178" s="2594"/>
      <c r="F178" s="2210"/>
      <c r="G178" s="2596"/>
      <c r="H178" s="2567"/>
      <c r="I178" s="2567"/>
      <c r="J178" s="2597"/>
      <c r="K178" s="2250"/>
      <c r="L178" s="2567"/>
      <c r="M178" s="2567"/>
      <c r="N178" s="2569"/>
      <c r="O178" s="2176"/>
      <c r="P178" s="381"/>
      <c r="Q178" s="382"/>
      <c r="R178" s="382" t="s">
        <v>255</v>
      </c>
      <c r="S178" s="1910"/>
      <c r="T178" s="1910"/>
      <c r="U178" s="1910"/>
      <c r="V178" s="1910"/>
      <c r="W178" s="1497"/>
      <c r="Y178" s="1323"/>
      <c r="Z178" s="1323"/>
      <c r="AA178" s="1323"/>
      <c r="AB178" s="1323"/>
      <c r="AC178" s="1323"/>
      <c r="AD178" s="1323"/>
      <c r="AE178" s="1323"/>
      <c r="AF178" s="1323"/>
      <c r="AG178" s="1323"/>
      <c r="AH178" s="1323"/>
      <c r="AI178" s="1323"/>
      <c r="AJ178" s="1323"/>
      <c r="AK178" s="1323"/>
    </row>
    <row s="6011" customFormat="1" customHeight="1" ht="17.25">
      <c r="A179" s="1904"/>
      <c r="C179" s="1909"/>
      <c r="D179" s="2567"/>
      <c r="E179" s="2594"/>
      <c r="F179" s="2210"/>
      <c r="G179" s="2596"/>
      <c r="H179" s="2567"/>
      <c r="I179" s="2567"/>
      <c r="J179" s="2597"/>
      <c r="K179" s="2176"/>
      <c r="L179" s="381"/>
      <c r="M179" s="382"/>
      <c r="N179" s="382" t="s">
        <v>256</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6011" customFormat="1" customHeight="1" ht="17.25">
      <c r="A180" s="1904"/>
      <c r="C180" s="1909"/>
      <c r="D180" s="2567"/>
      <c r="E180" s="2594"/>
      <c r="F180" s="2211"/>
      <c r="G180" s="2596"/>
      <c r="H180" s="381"/>
      <c r="I180" s="382"/>
      <c r="J180" s="382" t="s">
        <v>257</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6011" customFormat="1" customHeight="1" ht="17.25">
      <c r="A182" s="1904"/>
      <c r="C182" s="1906"/>
      <c r="D182" s="1894"/>
      <c r="E182" s="1911"/>
      <c r="F182" s="1848"/>
      <c r="G182" s="1912"/>
      <c r="H182" s="2593"/>
      <c r="I182" s="2593">
        <v>1</v>
      </c>
      <c r="J182" s="2565"/>
      <c r="K182" s="2249" t="s">
        <v>62</v>
      </c>
      <c r="L182" s="2172"/>
      <c r="M182" s="2172" t="s">
        <v>110</v>
      </c>
      <c r="N182" s="2568" t="str">
        <f>IF(Z182="","",INDEX(TERRITORY_MR_LIST,MATCH(Z182,TERRITORY_LIST_ID,0)))</f>
        <v/>
      </c>
      <c r="O182" s="2249" t="s">
        <v>62</v>
      </c>
      <c r="P182" s="2172"/>
      <c r="Q182" s="2172" t="s">
        <v>110</v>
      </c>
      <c r="R182" s="2566" t="s">
        <v>28</v>
      </c>
      <c r="S182" s="2470" t="s">
        <v>19</v>
      </c>
      <c r="T182" s="1866"/>
      <c r="U182" s="1866" t="s">
        <v>110</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601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6011" customFormat="1" customHeight="1" ht="17.25">
      <c r="A184" s="1904"/>
      <c r="C184" s="1909"/>
      <c r="D184" s="1894"/>
      <c r="E184" s="1911"/>
      <c r="F184" s="1848"/>
      <c r="G184" s="1912"/>
      <c r="H184" s="2567"/>
      <c r="I184" s="2567"/>
      <c r="J184" s="2597"/>
      <c r="K184" s="2250"/>
      <c r="L184" s="2567"/>
      <c r="M184" s="2567"/>
      <c r="N184" s="2569"/>
      <c r="O184" s="2176"/>
      <c r="P184" s="381"/>
      <c r="Q184" s="382"/>
      <c r="R184" s="382" t="s">
        <v>255</v>
      </c>
      <c r="S184" s="1910"/>
      <c r="T184" s="1910"/>
      <c r="U184" s="1910"/>
      <c r="V184" s="1910"/>
      <c r="W184" s="1497"/>
      <c r="Y184" s="1323"/>
      <c r="Z184" s="1323"/>
      <c r="AA184" s="1323"/>
      <c r="AB184" s="1323"/>
      <c r="AC184" s="1323"/>
      <c r="AD184" s="1323"/>
      <c r="AE184" s="1323"/>
      <c r="AF184" s="1323"/>
      <c r="AG184" s="1323"/>
      <c r="AH184" s="1323"/>
      <c r="AI184" s="1323"/>
      <c r="AJ184" s="1323"/>
      <c r="AK184" s="1323"/>
    </row>
    <row s="6011" customFormat="1" customHeight="1" ht="17.25">
      <c r="A185" s="1904"/>
      <c r="C185" s="1909"/>
      <c r="D185" s="1894"/>
      <c r="E185" s="1911"/>
      <c r="F185" s="1848"/>
      <c r="G185" s="1912"/>
      <c r="H185" s="2567"/>
      <c r="I185" s="2567"/>
      <c r="J185" s="2597"/>
      <c r="K185" s="2176"/>
      <c r="L185" s="381"/>
      <c r="M185" s="382"/>
      <c r="N185" s="382" t="s">
        <v>256</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6011" customFormat="1" customHeight="1" ht="17.25">
      <c r="A187" s="1904"/>
      <c r="C187" s="1906"/>
      <c r="D187" s="1894"/>
      <c r="E187" s="1911"/>
      <c r="F187" s="1848"/>
      <c r="G187" s="1912"/>
      <c r="H187" s="1894"/>
      <c r="I187" s="1894"/>
      <c r="J187" s="1915"/>
      <c r="K187" s="1912"/>
      <c r="L187" s="2172"/>
      <c r="M187" s="2172" t="s">
        <v>110</v>
      </c>
      <c r="N187" s="2568" t="str">
        <f>IF(Z187="","",INDEX(TERRITORY_MR_LIST,MATCH(Z187,TERRITORY_LIST_ID,0)))</f>
        <v/>
      </c>
      <c r="O187" s="2249" t="s">
        <v>62</v>
      </c>
      <c r="P187" s="2172"/>
      <c r="Q187" s="2172" t="s">
        <v>110</v>
      </c>
      <c r="R187" s="2566" t="s">
        <v>28</v>
      </c>
      <c r="S187" s="2470" t="s">
        <v>19</v>
      </c>
      <c r="T187" s="1866"/>
      <c r="U187" s="1866" t="s">
        <v>110</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601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6011" customFormat="1" customHeight="1" ht="17.25">
      <c r="A189" s="1904"/>
      <c r="C189" s="1909"/>
      <c r="D189" s="1894"/>
      <c r="E189" s="1911"/>
      <c r="F189" s="1848"/>
      <c r="G189" s="1912"/>
      <c r="H189" s="1894"/>
      <c r="I189" s="1894"/>
      <c r="J189" s="1915"/>
      <c r="K189" s="1912"/>
      <c r="L189" s="2567"/>
      <c r="M189" s="2567"/>
      <c r="N189" s="2569"/>
      <c r="O189" s="2176"/>
      <c r="P189" s="381"/>
      <c r="Q189" s="382"/>
      <c r="R189" s="382" t="s">
        <v>255</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6011" customFormat="1" customHeight="1" ht="17.25">
      <c r="A191" s="1904"/>
      <c r="C191" s="1906"/>
      <c r="D191" s="1894"/>
      <c r="E191" s="1911"/>
      <c r="F191" s="1848"/>
      <c r="G191" s="1912"/>
      <c r="H191" s="1894"/>
      <c r="I191" s="1894"/>
      <c r="J191" s="1915"/>
      <c r="K191" s="1912"/>
      <c r="L191" s="1894"/>
      <c r="M191" s="1894"/>
      <c r="N191" s="2112"/>
      <c r="O191" s="1851"/>
      <c r="P191" s="2172"/>
      <c r="Q191" s="2172" t="s">
        <v>110</v>
      </c>
      <c r="R191" s="2566" t="s">
        <v>28</v>
      </c>
      <c r="S191" s="2470" t="s">
        <v>19</v>
      </c>
      <c r="T191" s="1866"/>
      <c r="U191" s="1866" t="s">
        <v>110</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601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5759" customFormat="1" customHeight="1" ht="17.25">
      <c r="A200" s="1879" t="s">
        <v>1946</v>
      </c>
    </row>
    <row customHeight="1" ht="17.25">
      <c r="G201" s="1903"/>
      <c r="H201" s="1903"/>
      <c r="I201" s="1903"/>
      <c r="M201" s="1899"/>
    </row>
    <row s="6188" customFormat="1" customHeight="1" ht="15">
      <c r="D202" s="2587"/>
      <c r="E202" s="2263"/>
      <c r="F202" s="2263"/>
      <c r="G202" s="2249"/>
      <c r="H202" s="1628"/>
      <c r="I202" s="2591">
        <v>1</v>
      </c>
      <c r="J202" s="2565"/>
      <c r="K202" s="1643"/>
      <c r="L202" s="2249" t="s">
        <v>62</v>
      </c>
      <c r="M202" s="2249" t="s">
        <v>62</v>
      </c>
      <c r="N202" s="1628"/>
      <c r="O202" s="2172" t="s">
        <v>110</v>
      </c>
      <c r="P202" s="2581"/>
      <c r="Q202" s="1644"/>
      <c r="R202" s="2249" t="s">
        <v>62</v>
      </c>
      <c r="S202" s="2249" t="s">
        <v>62</v>
      </c>
      <c r="T202" s="1919"/>
      <c r="U202" s="2172" t="s">
        <v>110</v>
      </c>
      <c r="V202" s="2588" t="str">
        <f>IF(AK202="","",INDEX(TERRITORY_MR_LIST,MATCH(AK202,TERRITORY_LIST_ID,0)))</f>
        <v/>
      </c>
      <c r="W202" s="1645"/>
      <c r="X202" s="2249" t="s">
        <v>62</v>
      </c>
      <c r="Y202" s="2249" t="s">
        <v>19</v>
      </c>
      <c r="Z202" s="1628"/>
      <c r="AA202" s="2172" t="s">
        <v>110</v>
      </c>
      <c r="AB202" s="2590"/>
      <c r="AC202" s="1646"/>
      <c r="AD202" s="2249" t="s">
        <v>62</v>
      </c>
      <c r="AE202" s="2249" t="s">
        <v>19</v>
      </c>
      <c r="AF202" s="1626"/>
      <c r="AG202" s="1875" t="s">
        <v>110</v>
      </c>
      <c r="AH202" s="1636"/>
      <c r="AI202" s="1865"/>
    </row>
    <row s="6188"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1947</v>
      </c>
      <c r="AI203" s="2583"/>
    </row>
    <row s="6188"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1948</v>
      </c>
      <c r="AC204" s="2584"/>
      <c r="AD204" s="2584"/>
      <c r="AE204" s="2584"/>
      <c r="AF204" s="2584"/>
      <c r="AG204" s="2584"/>
      <c r="AH204" s="2584"/>
      <c r="AI204" s="2585"/>
    </row>
    <row s="6188"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104</v>
      </c>
      <c r="W205" s="2582"/>
      <c r="X205" s="2582"/>
      <c r="Y205" s="2582"/>
      <c r="Z205" s="2582"/>
      <c r="AA205" s="2582"/>
      <c r="AB205" s="2582"/>
      <c r="AC205" s="2582"/>
      <c r="AD205" s="2582"/>
      <c r="AE205" s="2582"/>
      <c r="AF205" s="2582"/>
      <c r="AG205" s="2582"/>
      <c r="AH205" s="2582"/>
      <c r="AI205" s="2583"/>
    </row>
    <row s="6188" customFormat="1" customHeight="1" ht="11.25">
      <c r="D206" s="2587"/>
      <c r="E206" s="2263"/>
      <c r="F206" s="2263"/>
      <c r="G206" s="2250"/>
      <c r="H206" s="1632"/>
      <c r="I206" s="2591"/>
      <c r="J206" s="2592"/>
      <c r="K206" s="1627"/>
      <c r="L206" s="2250"/>
      <c r="M206" s="2250"/>
      <c r="N206" s="1632"/>
      <c r="O206" s="1633"/>
      <c r="P206" s="2582" t="s">
        <v>1949</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252" customFormat="1" customHeight="1" ht="11.25">
      <c r="D207" s="2587"/>
      <c r="E207" s="2263"/>
      <c r="F207" s="2263"/>
      <c r="G207" s="2176"/>
      <c r="H207" s="1634"/>
      <c r="I207" s="1635"/>
      <c r="J207" s="2582" t="s">
        <v>257</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6188"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6188"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6188"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6188"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6188"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252"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3CBB8-85E3-996F-8812-0.CF715F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6073" width="43.140625"/>
    <col min="2" max="2" style="6073" width="43.140625" hidden="1"/>
    <col min="3" max="3" style="6073" width="43.140625"/>
    <col min="4" max="5" style="6073" width="36.421875" customWidth="1"/>
    <col min="6" max="8" style="6074" width="36.421875" customWidth="1"/>
  </cols>
  <sheetData>
    <row customHeight="1" ht="9">
      <c r="A1" s="910" t="s">
        <v>1950</v>
      </c>
      <c r="B1" s="910"/>
      <c r="C1" s="1046" t="s">
        <v>1951</v>
      </c>
      <c r="D1" s="1044" t="s">
        <v>811</v>
      </c>
      <c r="E1" s="1044" t="s">
        <v>857</v>
      </c>
      <c r="F1" s="1044" t="s">
        <v>910</v>
      </c>
      <c r="G1" s="1044" t="s">
        <v>897</v>
      </c>
      <c r="H1" s="1044" t="s">
        <v>1626</v>
      </c>
    </row>
    <row customHeight="1" ht="9">
      <c r="A2" s="1047" t="s">
        <v>1952</v>
      </c>
      <c r="B2" s="1047"/>
      <c r="C2" s="1048" t="str">
        <f>INDEX(TEMPLATE_NUMBER_FORM_LIST,MATCH(TEMPLATE_SPHERE,TEMPLATE_SPHERE_LIST,0))</f>
        <v>10</v>
      </c>
      <c r="D2" s="1047" t="s">
        <v>1478</v>
      </c>
      <c r="E2" s="1047" t="s">
        <v>150</v>
      </c>
      <c r="F2" s="1049" t="s">
        <v>150</v>
      </c>
      <c r="G2" s="1047" t="s">
        <v>150</v>
      </c>
      <c r="H2" s="1050"/>
    </row>
    <row customHeight="1" ht="63">
      <c r="A3" s="910"/>
      <c r="B3" s="910" t="s">
        <v>110</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8" t="s">
        <v>1953</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49"/>
      <c r="G3" s="1050"/>
      <c r="H3" s="910"/>
    </row>
    <row customHeight="1" ht="243">
      <c r="A4" s="910" t="s">
        <v>1954</v>
      </c>
      <c r="B4" s="910" t="s">
        <v>111</v>
      </c>
      <c r="C4" s="1048" t="str">
        <f>IF(TEMPLATE_SPHERE="HEAT",D4,IF(TEMPLATE_SPHERE="TKO",H4,E4))</f>
        <v>Форма 1. Информация об организации, осуществляющей горячее водоснабжение (общая информация)</v>
      </c>
      <c r="D4" s="1047" t="s">
        <v>1955</v>
      </c>
      <c r="E4" s="104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7"/>
      <c r="G4" s="1047"/>
      <c r="H4" s="910" t="s">
        <v>1956</v>
      </c>
    </row>
    <row customHeight="1" ht="117">
      <c r="A5" s="910" t="s">
        <v>1957</v>
      </c>
      <c r="B5" s="910" t="s">
        <v>91</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0" t="s">
        <v>1958</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0"/>
      <c r="G5" s="1050"/>
      <c r="H5" s="910" t="s">
        <v>1959</v>
      </c>
    </row>
    <row customHeight="1" ht="90">
      <c r="A6" s="910" t="s">
        <v>1960</v>
      </c>
      <c r="B6" s="910" t="s">
        <v>92</v>
      </c>
      <c r="C6" s="104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0"/>
      <c r="G6" s="910"/>
      <c r="H6" s="1050"/>
    </row>
    <row customHeight="1" ht="45">
      <c r="A7" s="910" t="s">
        <v>1961</v>
      </c>
      <c r="B7" s="910" t="s">
        <v>112</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1962</v>
      </c>
      <c r="E7" s="910" t="s">
        <v>1963</v>
      </c>
      <c r="F7" s="1050"/>
      <c r="G7" s="1050"/>
      <c r="H7" s="1050"/>
    </row>
    <row customHeight="1" ht="108">
      <c r="A8" s="910" t="s">
        <v>1964</v>
      </c>
      <c r="B8" s="910" t="s">
        <v>93</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1165</v>
      </c>
      <c r="E8" s="910" t="s">
        <v>1965</v>
      </c>
      <c r="F8" s="1050"/>
      <c r="G8" s="1050"/>
      <c r="H8" s="1050"/>
    </row>
    <row customHeight="1" ht="99">
      <c r="A9" s="910" t="s">
        <v>1966</v>
      </c>
      <c r="B9" s="910"/>
      <c r="C9" s="910" t="s">
        <v>1967</v>
      </c>
      <c r="D9" s="910"/>
      <c r="E9" s="910"/>
      <c r="F9" s="1050"/>
      <c r="G9" s="1050"/>
      <c r="H9" s="1050"/>
    </row>
    <row customHeight="1" ht="126">
      <c r="A10" s="910" t="s">
        <v>1968</v>
      </c>
      <c r="B10" s="910"/>
      <c r="C10" s="910" t="s">
        <v>1969</v>
      </c>
      <c r="D10" s="910"/>
      <c r="E10" s="910"/>
      <c r="F10" s="1050"/>
      <c r="G10" s="1050"/>
      <c r="H10" s="1050"/>
    </row>
    <row customHeight="1" ht="108">
      <c r="A11" s="910" t="s">
        <v>1970</v>
      </c>
      <c r="B11" s="910"/>
      <c r="C11" s="910" t="s">
        <v>1971</v>
      </c>
      <c r="D11" s="910"/>
      <c r="E11" s="910"/>
      <c r="F11" s="1050"/>
      <c r="G11" s="1050"/>
      <c r="H11" s="1050"/>
    </row>
    <row customHeight="1" ht="54">
      <c r="A12" s="910" t="s">
        <v>1972</v>
      </c>
      <c r="B12" s="910"/>
      <c r="C12" s="910" t="s">
        <v>1973</v>
      </c>
      <c r="D12" s="910"/>
      <c r="E12" s="910"/>
      <c r="F12" s="1050"/>
      <c r="G12" s="1050"/>
      <c r="H12" s="1050"/>
    </row>
    <row customHeight="1" ht="45">
      <c r="A13" s="910" t="s">
        <v>1974</v>
      </c>
      <c r="B13" s="910"/>
      <c r="C13" s="910" t="s">
        <v>1975</v>
      </c>
      <c r="D13" s="910"/>
      <c r="E13" s="910"/>
      <c r="F13" s="1050"/>
      <c r="G13" s="1050"/>
      <c r="H13" s="1050"/>
    </row>
    <row customHeight="1" ht="117">
      <c r="A14" s="910" t="s">
        <v>1976</v>
      </c>
      <c r="B14" s="910"/>
      <c r="C14" s="910" t="s">
        <v>1977</v>
      </c>
      <c r="D14" s="910"/>
      <c r="E14" s="910"/>
      <c r="F14" s="1050"/>
      <c r="G14" s="1050"/>
      <c r="H14" s="1050"/>
    </row>
    <row customHeight="1" ht="117">
      <c r="A15" s="910" t="s">
        <v>1978</v>
      </c>
      <c r="B15" s="910"/>
      <c r="C15" s="910" t="s">
        <v>1979</v>
      </c>
      <c r="D15" s="910"/>
      <c r="E15" s="910"/>
      <c r="F15" s="1050"/>
      <c r="G15" s="1050"/>
      <c r="H15" s="1050"/>
    </row>
    <row customHeight="1" ht="63">
      <c r="A16" s="910" t="s">
        <v>1980</v>
      </c>
      <c r="B16" s="910"/>
      <c r="C16" s="910" t="s">
        <v>1981</v>
      </c>
      <c r="D16" s="910"/>
      <c r="E16" s="910"/>
      <c r="F16" s="1050"/>
      <c r="G16" s="1050"/>
      <c r="H16" s="1050"/>
    </row>
    <row customHeight="1" ht="54">
      <c r="A17" s="910" t="s">
        <v>1982</v>
      </c>
      <c r="B17" s="910"/>
      <c r="C17" s="1048" t="s">
        <v>1983</v>
      </c>
      <c r="D17" s="910"/>
      <c r="E17" s="910"/>
      <c r="F17" s="1050"/>
      <c r="G17" s="1050"/>
      <c r="H17" s="1050"/>
    </row>
    <row customHeight="1" ht="27">
      <c r="A18" s="910" t="s">
        <v>1984</v>
      </c>
      <c r="B18" s="910"/>
      <c r="C18" s="1048" t="s">
        <v>1985</v>
      </c>
      <c r="D18" s="910"/>
      <c r="E18" s="910"/>
      <c r="F18" s="1050"/>
      <c r="G18" s="1050"/>
      <c r="H18" s="1050"/>
    </row>
    <row customHeight="1" ht="54">
      <c r="A19" s="910" t="s">
        <v>1986</v>
      </c>
      <c r="B19" s="910"/>
      <c r="C19" s="1048" t="s">
        <v>1987</v>
      </c>
      <c r="D19" s="910"/>
      <c r="E19" s="910"/>
      <c r="F19" s="1050"/>
      <c r="G19" s="1050"/>
      <c r="H19" s="1050"/>
    </row>
    <row customHeight="1" ht="36">
      <c r="A20" s="910" t="s">
        <v>1988</v>
      </c>
      <c r="B20" s="910"/>
      <c r="C20" s="1048" t="s">
        <v>1989</v>
      </c>
      <c r="D20" s="910"/>
      <c r="E20" s="910"/>
      <c r="F20" s="1050"/>
      <c r="G20" s="1050"/>
      <c r="H20" s="1050"/>
    </row>
    <row customHeight="1" ht="36">
      <c r="A21" s="910" t="s">
        <v>1990</v>
      </c>
      <c r="B21" s="910"/>
      <c r="C21" s="1048" t="s">
        <v>1991</v>
      </c>
      <c r="D21" s="910"/>
      <c r="E21" s="910"/>
      <c r="F21" s="1050"/>
      <c r="G21" s="1050"/>
      <c r="H21" s="1050"/>
    </row>
    <row customHeight="1" ht="27">
      <c r="A22" s="910" t="s">
        <v>1992</v>
      </c>
      <c r="B22" s="910"/>
      <c r="C22" s="1048" t="s">
        <v>1993</v>
      </c>
      <c r="D22" s="910"/>
      <c r="E22" s="910"/>
      <c r="F22" s="1050"/>
      <c r="G22" s="1050"/>
      <c r="H22" s="1050"/>
    </row>
    <row customHeight="1" ht="36">
      <c r="A23" s="910" t="s">
        <v>1994</v>
      </c>
      <c r="B23" s="910"/>
      <c r="C23" s="1048" t="s">
        <v>1995</v>
      </c>
      <c r="D23" s="910"/>
      <c r="E23" s="910"/>
      <c r="F23" s="1050"/>
      <c r="G23" s="1050"/>
      <c r="H23" s="1050"/>
    </row>
    <row customHeight="1" ht="28.5">
      <c r="A24" s="910" t="s">
        <v>1996</v>
      </c>
      <c r="B24" s="910"/>
      <c r="C24" s="1048" t="s">
        <v>1997</v>
      </c>
      <c r="D24" s="910"/>
      <c r="E24" s="910"/>
      <c r="F24" s="1050"/>
      <c r="G24" s="1050"/>
      <c r="H24" s="1050"/>
    </row>
    <row customHeight="1" ht="36">
      <c r="A25" s="910" t="s">
        <v>1998</v>
      </c>
      <c r="B25" s="910"/>
      <c r="C25" s="1048" t="s">
        <v>1999</v>
      </c>
      <c r="D25" s="910"/>
      <c r="E25" s="910"/>
      <c r="F25" s="1050"/>
      <c r="G25" s="1050"/>
      <c r="H25" s="1050"/>
    </row>
    <row customHeight="1" ht="27">
      <c r="A26" s="910" t="s">
        <v>2000</v>
      </c>
      <c r="B26" s="910"/>
      <c r="C26" s="1048" t="s">
        <v>2001</v>
      </c>
      <c r="D26" s="910"/>
      <c r="E26" s="910"/>
      <c r="F26" s="1050"/>
      <c r="G26" s="1050"/>
      <c r="H26" s="1050"/>
    </row>
    <row customHeight="1" ht="36">
      <c r="A27" s="910" t="s">
        <v>2002</v>
      </c>
      <c r="B27" s="910"/>
      <c r="C27" s="1048" t="s">
        <v>2003</v>
      </c>
      <c r="D27" s="910"/>
      <c r="E27" s="910"/>
      <c r="F27" s="1050"/>
      <c r="G27" s="1050"/>
      <c r="H27" s="1050"/>
    </row>
    <row customHeight="1" ht="28.5">
      <c r="A28" s="910" t="s">
        <v>2004</v>
      </c>
      <c r="B28" s="910"/>
      <c r="C28" s="1048" t="s">
        <v>2005</v>
      </c>
      <c r="D28" s="910"/>
      <c r="E28" s="910"/>
      <c r="F28" s="1050"/>
      <c r="G28" s="1050"/>
      <c r="H28" s="1050"/>
    </row>
    <row customHeight="1" ht="126">
      <c r="A29" s="910" t="s">
        <v>2006</v>
      </c>
      <c r="B29" s="910" t="s">
        <v>1579</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0" t="s">
        <v>2007</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0"/>
      <c r="G29" s="1050"/>
      <c r="H29" s="910" t="s">
        <v>2008</v>
      </c>
    </row>
    <row customHeight="1" ht="36">
      <c r="A30" s="910" t="s">
        <v>2009</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0" t="s">
        <v>2010</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0"/>
      <c r="G30" s="1050"/>
      <c r="H30" s="1050"/>
    </row>
    <row customHeight="1" ht="54">
      <c r="A31" s="910" t="s">
        <v>2011</v>
      </c>
      <c r="B31" s="910"/>
      <c r="C31" s="1048" t="str">
        <f>IF(TEMPLATE_SPHERE="HEAT",D31,IF(TEMPLATE_SPHERE="TKO",H31,E31))</f>
        <v>Форма 1. Информация об организации, осуществляющей горячее водоснабжение (общая информация)</v>
      </c>
      <c r="D31" s="910" t="s">
        <v>2012</v>
      </c>
      <c r="E31" s="91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0"/>
      <c r="G31" s="1050"/>
      <c r="H31" s="1050"/>
    </row>
    <row customHeight="1" ht="198">
      <c r="A32" s="910" t="s">
        <v>2013</v>
      </c>
      <c r="B32" s="910"/>
      <c r="C32" s="1048" t="str">
        <f>IF(TEMPLATE_SPHERE="HEAT",D32,IF(TEMPLATE_SPHERE="TKO",H32,E32))</f>
        <v>Форма 7. Информация об инвестиционных программах организации горячего водоснабжения и отчетах об их исполнении</v>
      </c>
      <c r="D32" s="910" t="s">
        <v>2014</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0"/>
      <c r="G32" s="1050"/>
      <c r="H32" s="910" t="s">
        <v>2015</v>
      </c>
    </row>
    <row customHeight="1" ht="9">
      <c r="A33" s="910"/>
      <c r="B33" s="910"/>
      <c r="C33" s="1048"/>
      <c r="D33" s="910"/>
      <c r="E33" s="910"/>
      <c r="F33" s="1050"/>
      <c r="G33" s="1050"/>
      <c r="H33" s="1050"/>
    </row>
    <row customHeight="1" ht="9">
      <c r="A34" s="910"/>
      <c r="B34" s="910" t="s">
        <v>1516</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61336A-AF5E-42F3-1B6C-0.BE46D3F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6073" width="9.140625"/>
    <col min="3" max="7" style="6117" width="8.00390625" customWidth="1"/>
    <col min="8" max="12" style="6117" width="8.57421875" customWidth="1"/>
    <col min="13" max="14" style="6117" width="27.7109375" customWidth="1"/>
    <col min="15" max="19" style="6117" width="5.140625" customWidth="1"/>
    <col min="20" max="24" style="6117" width="27.7109375" customWidth="1"/>
    <col min="25" max="25" style="6118" width="1.8515625" customWidth="1"/>
    <col min="26" max="26" style="6073" width="27.7109375" customWidth="1"/>
    <col min="27" max="27" style="6119" width="27.7109375" customWidth="1"/>
    <col min="28" max="29" style="6073" width="27.7109375" customWidth="1"/>
    <col min="30" max="30" style="6073" width="3.8515625" customWidth="1"/>
    <col min="31" max="34" style="6073" width="9.140625"/>
  </cols>
  <sheetData>
    <row s="6075" customFormat="1" customHeight="1" ht="18">
      <c r="A1" s="962"/>
      <c r="B1" s="962"/>
      <c r="C1" s="962" t="s">
        <v>2016</v>
      </c>
      <c r="D1" s="962"/>
      <c r="E1" s="962"/>
      <c r="F1" s="962"/>
      <c r="G1" s="962"/>
      <c r="H1" s="962" t="s">
        <v>2017</v>
      </c>
      <c r="I1" s="962"/>
      <c r="J1" s="962"/>
      <c r="K1" s="962"/>
      <c r="L1" s="962"/>
      <c r="M1" s="962" t="s">
        <v>2018</v>
      </c>
      <c r="N1" s="962" t="s">
        <v>2019</v>
      </c>
      <c r="O1" s="2656" t="s">
        <v>2020</v>
      </c>
      <c r="P1" s="2656"/>
      <c r="Q1" s="2656"/>
      <c r="R1" s="2656"/>
      <c r="S1" s="2656"/>
      <c r="T1" s="2656" t="s">
        <v>2018</v>
      </c>
      <c r="U1" s="2656"/>
      <c r="V1" s="2656"/>
      <c r="W1" s="2656"/>
      <c r="X1" s="2656"/>
      <c r="Y1" s="1063"/>
      <c r="Z1" s="2656" t="s">
        <v>2021</v>
      </c>
      <c r="AA1" s="2656"/>
      <c r="AB1" s="2656"/>
      <c r="AC1" s="2656"/>
      <c r="AD1" s="2656"/>
    </row>
    <row customHeight="1" ht="18">
      <c r="A2" s="910"/>
      <c r="B2" s="910"/>
      <c r="C2" s="905" t="s">
        <v>811</v>
      </c>
      <c r="D2" s="905" t="s">
        <v>857</v>
      </c>
      <c r="E2" s="905" t="s">
        <v>910</v>
      </c>
      <c r="F2" s="905" t="s">
        <v>897</v>
      </c>
      <c r="G2" s="905" t="s">
        <v>1626</v>
      </c>
      <c r="H2" s="907"/>
      <c r="I2" s="907"/>
      <c r="J2" s="907"/>
      <c r="K2" s="907"/>
      <c r="L2" s="907"/>
      <c r="M2" s="907"/>
      <c r="N2" s="907"/>
      <c r="O2" s="905" t="s">
        <v>811</v>
      </c>
      <c r="P2" s="905" t="s">
        <v>857</v>
      </c>
      <c r="Q2" s="905" t="s">
        <v>897</v>
      </c>
      <c r="R2" s="905" t="s">
        <v>910</v>
      </c>
      <c r="S2" s="905" t="s">
        <v>1626</v>
      </c>
      <c r="T2" s="905" t="s">
        <v>811</v>
      </c>
      <c r="U2" s="905" t="s">
        <v>857</v>
      </c>
      <c r="V2" s="905" t="s">
        <v>897</v>
      </c>
      <c r="W2" s="905" t="s">
        <v>910</v>
      </c>
      <c r="X2" s="905" t="s">
        <v>1626</v>
      </c>
      <c r="Y2" s="905"/>
      <c r="Z2" s="905" t="s">
        <v>811</v>
      </c>
      <c r="AA2" s="914" t="s">
        <v>857</v>
      </c>
      <c r="AB2" s="905" t="s">
        <v>897</v>
      </c>
      <c r="AC2" s="905" t="s">
        <v>910</v>
      </c>
      <c r="AD2" s="905" t="s">
        <v>1626</v>
      </c>
    </row>
    <row customHeight="1" ht="162">
      <c r="A3" s="909" t="s">
        <v>26</v>
      </c>
      <c r="B3" s="909"/>
      <c r="C3" s="2660" t="s">
        <v>2022</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7"/>
      <c r="P3" s="907"/>
      <c r="Q3" s="907"/>
      <c r="R3" s="907"/>
      <c r="S3" s="907"/>
      <c r="T3" s="907"/>
      <c r="U3" s="907"/>
      <c r="V3" s="907"/>
      <c r="W3" s="907"/>
      <c r="X3" s="907"/>
      <c r="Y3" s="1064"/>
      <c r="Z3" s="910" t="s">
        <v>2023</v>
      </c>
      <c r="AA3" s="907" t="s">
        <v>2024</v>
      </c>
      <c r="AB3" s="910" t="s">
        <v>2025</v>
      </c>
      <c r="AC3" s="910" t="s">
        <v>2026</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1566</v>
      </c>
      <c r="D11" s="2663" t="s">
        <v>1562</v>
      </c>
      <c r="E11" s="2663" t="s">
        <v>1659</v>
      </c>
      <c r="F11" s="2663" t="s">
        <v>2027</v>
      </c>
      <c r="G11" s="2663"/>
      <c r="H11" s="962" t="s">
        <v>2028</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7"/>
      <c r="P11" s="907"/>
      <c r="Q11" s="907"/>
      <c r="R11" s="907"/>
      <c r="S11" s="907"/>
      <c r="T11" s="907" t="s">
        <v>2029</v>
      </c>
      <c r="U11" s="907" t="s">
        <v>2030</v>
      </c>
      <c r="V11" s="907"/>
      <c r="W11" s="907"/>
      <c r="X11" s="907"/>
      <c r="Y11" s="1064"/>
      <c r="Z11" s="910" t="s">
        <v>2031</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0"/>
      <c r="AC11" s="910"/>
      <c r="AD11" s="910"/>
    </row>
    <row customHeight="1" ht="45">
      <c r="A12" s="2657"/>
      <c r="B12" s="963">
        <v>2</v>
      </c>
      <c r="C12" s="2664"/>
      <c r="D12" s="2664"/>
      <c r="E12" s="2664"/>
      <c r="F12" s="2664"/>
      <c r="G12" s="2664"/>
      <c r="H12" s="962" t="s">
        <v>2032</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7"/>
      <c r="P12" s="907"/>
      <c r="Q12" s="907"/>
      <c r="R12" s="907"/>
      <c r="S12" s="907"/>
      <c r="T12" s="907" t="s">
        <v>2033</v>
      </c>
      <c r="U12" s="907" t="s">
        <v>2034</v>
      </c>
      <c r="V12" s="907"/>
      <c r="W12" s="907"/>
      <c r="X12" s="907"/>
      <c r="Y12" s="1064"/>
      <c r="Z12" s="910" t="s">
        <v>2035</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0"/>
      <c r="AC12" s="910"/>
      <c r="AD12" s="910"/>
    </row>
    <row customHeight="1" ht="72">
      <c r="A13" s="2657"/>
      <c r="B13" s="963">
        <v>3</v>
      </c>
      <c r="C13" s="2664"/>
      <c r="D13" s="2664"/>
      <c r="E13" s="2664"/>
      <c r="F13" s="2664"/>
      <c r="G13" s="2664"/>
      <c r="H13" s="2656" t="s">
        <v>2036</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7"/>
      <c r="P13" s="908"/>
      <c r="Q13" s="908"/>
      <c r="R13" s="908"/>
      <c r="S13" s="907"/>
      <c r="T13" s="907" t="s">
        <v>2037</v>
      </c>
      <c r="U13" s="908" t="s">
        <v>2038</v>
      </c>
      <c r="V13" s="908"/>
      <c r="W13" s="908"/>
      <c r="X13" s="907"/>
      <c r="Y13" s="1064"/>
      <c r="Z13" s="910" t="s">
        <v>2039</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2040</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8"/>
      <c r="W14" s="908"/>
      <c r="X14" s="907"/>
      <c r="Y14" s="1064"/>
      <c r="Z14" s="910" t="s">
        <v>2041</v>
      </c>
      <c r="AA14" s="913" t="s">
        <v>2041</v>
      </c>
      <c r="AB14" s="910"/>
      <c r="AC14" s="910"/>
      <c r="AD14" s="910"/>
    </row>
    <row customHeight="1" ht="108">
      <c r="A15" s="2657"/>
      <c r="B15" s="963">
        <v>5</v>
      </c>
      <c r="C15" s="2664"/>
      <c r="D15" s="2664"/>
      <c r="E15" s="2664"/>
      <c r="F15" s="2664"/>
      <c r="G15" s="2664"/>
      <c r="H15" s="2658" t="s">
        <v>2042</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7"/>
      <c r="P15" s="908"/>
      <c r="Q15" s="908"/>
      <c r="R15" s="908"/>
      <c r="S15" s="907"/>
      <c r="T15" s="907" t="s">
        <v>2043</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8"/>
      <c r="W15" s="908"/>
      <c r="X15" s="907"/>
      <c r="Y15" s="1064"/>
      <c r="Z15" s="910" t="s">
        <v>2044</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7"/>
      <c r="P16" s="908"/>
      <c r="Q16" s="908"/>
      <c r="R16" s="908"/>
      <c r="S16" s="907"/>
      <c r="T16" s="907"/>
      <c r="U16" s="908"/>
      <c r="V16" s="908"/>
      <c r="W16" s="908"/>
      <c r="X16" s="907"/>
      <c r="Y16" s="1064"/>
      <c r="Z16" s="910" t="s">
        <v>2044</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1662</v>
      </c>
      <c r="B18" s="963">
        <v>1</v>
      </c>
      <c r="C18" s="907" t="s">
        <v>2028</v>
      </c>
      <c r="D18" s="1031" t="s">
        <v>2028</v>
      </c>
      <c r="E18" s="907" t="s">
        <v>2028</v>
      </c>
      <c r="F18" s="907" t="s">
        <v>2028</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горячего водоснабжения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горячего водоснабжения</v>
      </c>
      <c r="N18" s="908" t="str">
        <f>IF(K18=0,"",K18)</f>
        <v>Указывается выручка с распределением по видам деятельности.</v>
      </c>
      <c r="O18" s="1021">
        <v>1</v>
      </c>
      <c r="P18" s="1021">
        <v>1</v>
      </c>
      <c r="Q18" s="1021">
        <v>1</v>
      </c>
      <c r="R18" s="1021">
        <v>1</v>
      </c>
      <c r="S18" s="1021"/>
      <c r="T18" s="1028" t="s">
        <v>2045</v>
      </c>
      <c r="U18" s="910" t="s">
        <v>2046</v>
      </c>
      <c r="V18" s="910" t="s">
        <v>2047</v>
      </c>
      <c r="W18" s="910" t="s">
        <v>2048</v>
      </c>
      <c r="X18" s="907"/>
      <c r="Y18" s="1064"/>
      <c r="Z18" s="910" t="s">
        <v>2049</v>
      </c>
      <c r="AA18" s="913" t="s">
        <v>2050</v>
      </c>
      <c r="AB18" s="913" t="s">
        <v>2050</v>
      </c>
      <c r="AC18" s="913" t="s">
        <v>2050</v>
      </c>
      <c r="AD18" s="910"/>
    </row>
    <row customHeight="1" ht="36">
      <c r="A19" s="909"/>
      <c r="B19" s="963">
        <v>2</v>
      </c>
      <c r="C19" s="907" t="s">
        <v>2032</v>
      </c>
      <c r="D19" s="1031" t="s">
        <v>2032</v>
      </c>
      <c r="E19" s="907" t="s">
        <v>2032</v>
      </c>
      <c r="F19" s="907" t="s">
        <v>2032</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горячего водоснабжения, включая:</v>
      </c>
      <c r="N19" s="908" t="str">
        <f>IF(K19=0,"",K19)</f>
        <v>Указывается суммарная себестоимость производимых товаров.</v>
      </c>
      <c r="O19" s="1021">
        <v>2</v>
      </c>
      <c r="P19" s="1021">
        <v>2</v>
      </c>
      <c r="Q19" s="1021">
        <v>2</v>
      </c>
      <c r="R19" s="1021">
        <v>2</v>
      </c>
      <c r="S19" s="1021"/>
      <c r="T19" s="1028" t="s">
        <v>2051</v>
      </c>
      <c r="U19" s="910" t="s">
        <v>2052</v>
      </c>
      <c r="V19" s="910" t="s">
        <v>2053</v>
      </c>
      <c r="W19" s="910" t="s">
        <v>2054</v>
      </c>
      <c r="X19" s="907"/>
      <c r="Y19" s="1064"/>
      <c r="Z19" s="910" t="s">
        <v>2055</v>
      </c>
      <c r="AA19" s="913" t="s">
        <v>2055</v>
      </c>
      <c r="AB19" s="913" t="s">
        <v>2055</v>
      </c>
      <c r="AC19" s="913" t="s">
        <v>2055</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используемую для горячего водоснабжения</v>
      </c>
      <c r="K20" s="1069">
        <f>INDEX(TEMPLATE_NOTE_POINT_FHD,B20,MATCH(TEMPLATE_SPHERE,TEMPLATE_SPHERE_LIST_FOR_NOTE,0))</f>
        <v>0</v>
      </c>
      <c r="L20" s="908" t="str">
        <f>IF(I20=0,"",I20)</f>
        <v>2.1</v>
      </c>
      <c r="M20" s="908" t="str">
        <f>IF(J20=0,"",J20)</f>
        <v>Расходы на приобретаемую тепловую энергию (мощность), используемую для горячего водоснабжения</v>
      </c>
      <c r="N20" s="908" t="str">
        <f>IF(K20=0,"",K20)</f>
        <v/>
      </c>
      <c r="O20" s="1021" t="s">
        <v>712</v>
      </c>
      <c r="P20" s="1021" t="s">
        <v>712</v>
      </c>
      <c r="Q20" s="1021" t="s">
        <v>712</v>
      </c>
      <c r="R20" s="1021" t="s">
        <v>712</v>
      </c>
      <c r="S20" s="1021"/>
      <c r="T20" s="1028" t="s">
        <v>2056</v>
      </c>
      <c r="U20" s="910" t="s">
        <v>2057</v>
      </c>
      <c r="V20" s="910" t="s">
        <v>2058</v>
      </c>
      <c r="W20" s="910" t="s">
        <v>2059</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311</v>
      </c>
      <c r="P21" s="1021"/>
      <c r="Q21" s="1021"/>
      <c r="R21" s="1021"/>
      <c r="S21" s="1021"/>
      <c r="T21" s="1028" t="s">
        <v>2060</v>
      </c>
      <c r="U21" s="910"/>
      <c r="V21" s="910"/>
      <c r="W21" s="910"/>
      <c r="X21" s="907"/>
      <c r="Y21" s="1064"/>
      <c r="Z21" s="910" t="s">
        <v>2061</v>
      </c>
      <c r="AA21" s="913"/>
      <c r="AB21" s="910"/>
      <c r="AC21" s="910"/>
      <c r="AD21" s="910"/>
    </row>
    <row customHeight="1" ht="36">
      <c r="A22" s="909"/>
      <c r="B22" s="963">
        <v>5</v>
      </c>
      <c r="C22" s="907">
        <v>3</v>
      </c>
      <c r="D22" s="1031"/>
      <c r="E22" s="907"/>
      <c r="F22" s="907"/>
      <c r="G22" s="955"/>
      <c r="H22" s="1022"/>
      <c r="I22" s="1069" t="str">
        <f>INDEX(TEMPLATE_NUMBER_POINT_FHD,B22,MATCH(TEMPLATE_SPHERE,TEMPLATE_SPHERE_LIST_FOR_NOTE,0))</f>
        <v>2.2</v>
      </c>
      <c r="J22" s="106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69">
        <f>INDEX(TEMPLATE_NOTE_POINT_FHD,B22,MATCH(TEMPLATE_SPHERE,TEMPLATE_SPHERE_LIST_FOR_NOTE,0))</f>
        <v>0</v>
      </c>
      <c r="L22" s="908" t="str">
        <f>IF(I22=0,"",I22)</f>
        <v>2.2</v>
      </c>
      <c r="M22" s="908" t="str">
        <f>IF(J22=0,"",J22)</f>
        <v>Расходы на тепловую энергию, производимую с применением собственных источников и используемую для горячего водоснабжения</v>
      </c>
      <c r="N22" s="908" t="str">
        <f>IF(K22=0,"",K22)</f>
        <v/>
      </c>
      <c r="O22" s="1021"/>
      <c r="P22" s="1021"/>
      <c r="Q22" s="1021" t="s">
        <v>311</v>
      </c>
      <c r="R22" s="1021"/>
      <c r="S22" s="1021"/>
      <c r="T22" s="1028"/>
      <c r="U22" s="910"/>
      <c r="V22" s="910" t="s">
        <v>2062</v>
      </c>
      <c r="W22" s="910"/>
      <c r="X22" s="907"/>
      <c r="Y22" s="1064"/>
      <c r="Z22" s="910"/>
      <c r="AA22" s="913"/>
      <c r="AB22" s="910"/>
      <c r="AC22" s="910"/>
      <c r="AD22" s="910"/>
    </row>
    <row customHeight="1" ht="27">
      <c r="A23" s="909"/>
      <c r="B23" s="963">
        <v>6</v>
      </c>
      <c r="C23" s="907">
        <v>4</v>
      </c>
      <c r="D23" s="1031"/>
      <c r="E23" s="907"/>
      <c r="F23" s="907"/>
      <c r="G23" s="955"/>
      <c r="H23" s="1022"/>
      <c r="I23" s="1069" t="str">
        <f>INDEX(TEMPLATE_NUMBER_POINT_FHD,B23,MATCH(TEMPLATE_SPHERE,TEMPLATE_SPHERE_LIST_FOR_NOTE,0))</f>
        <v>2.3</v>
      </c>
      <c r="J23" s="1069" t="str">
        <f>INDEX(TEMPLATE_DATA_POINT_FHD,B23,MATCH(TEMPLATE_SPHERE,TEMPLATE_SPHERE_LIST_FOR_NOTE,0))</f>
        <v>Расходы на приобретаемую холодную воду, используемую для горячего водоснабжения</v>
      </c>
      <c r="K23" s="1069">
        <f>INDEX(TEMPLATE_NOTE_POINT_FHD,B23,MATCH(TEMPLATE_SPHERE,TEMPLATE_SPHERE_LIST_FOR_NOTE,0))</f>
        <v>0</v>
      </c>
      <c r="L23" s="908" t="str">
        <f>IF(I23=0,"",I23)</f>
        <v>2.3</v>
      </c>
      <c r="M23" s="908" t="str">
        <f>IF(J23=0,"",J23)</f>
        <v>Расходы на приобретаемую холодную воду, используемую для горячего водоснабжения</v>
      </c>
      <c r="N23" s="908" t="str">
        <f>IF(K23=0,"",K23)</f>
        <v/>
      </c>
      <c r="O23" s="1021"/>
      <c r="P23" s="1021"/>
      <c r="Q23" s="1021" t="s">
        <v>314</v>
      </c>
      <c r="R23" s="1021"/>
      <c r="S23" s="1021"/>
      <c r="T23" s="1028"/>
      <c r="U23" s="910"/>
      <c r="V23" s="910" t="s">
        <v>2063</v>
      </c>
      <c r="W23" s="910"/>
      <c r="X23" s="907"/>
      <c r="Y23" s="1064"/>
      <c r="Z23" s="910"/>
      <c r="AA23" s="913"/>
      <c r="AB23" s="910"/>
      <c r="AC23" s="910"/>
      <c r="AD23" s="910"/>
    </row>
    <row customHeight="1" ht="36">
      <c r="A24" s="909"/>
      <c r="B24" s="963">
        <v>7</v>
      </c>
      <c r="C24" s="907">
        <v>5</v>
      </c>
      <c r="D24" s="1031"/>
      <c r="E24" s="907"/>
      <c r="F24" s="907"/>
      <c r="G24" s="955"/>
      <c r="H24" s="1022"/>
      <c r="I24" s="1069" t="str">
        <f>INDEX(TEMPLATE_NUMBER_POINT_FHD,B24,MATCH(TEMPLATE_SPHERE,TEMPLATE_SPHERE_LIST_FOR_NOTE,0))</f>
        <v>2.4</v>
      </c>
      <c r="J24" s="106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69">
        <f>INDEX(TEMPLATE_NOTE_POINT_FHD,B24,MATCH(TEMPLATE_SPHERE,TEMPLATE_SPHERE_LIST_FOR_NOTE,0))</f>
        <v>0</v>
      </c>
      <c r="L24" s="908" t="str">
        <f>IF(I24=0,"",I24)</f>
        <v>2.4</v>
      </c>
      <c r="M24" s="90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8" t="str">
        <f>IF(K24=0,"",K24)</f>
        <v/>
      </c>
      <c r="O24" s="1021"/>
      <c r="P24" s="1021"/>
      <c r="Q24" s="1021" t="s">
        <v>732</v>
      </c>
      <c r="R24" s="1021"/>
      <c r="S24" s="1021"/>
      <c r="T24" s="1028"/>
      <c r="U24" s="910"/>
      <c r="V24" s="910" t="s">
        <v>2064</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2.5</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2.5</v>
      </c>
      <c r="M25" s="908" t="str">
        <f>IF(J25=0,"",J25)</f>
        <v>Расходы на приобретаемую электрическую энергию (мощность), используемую в технологическом процессе</v>
      </c>
      <c r="N25" s="908" t="str">
        <f>IF(K25=0,"",K25)</f>
        <v/>
      </c>
      <c r="O25" s="1021" t="s">
        <v>314</v>
      </c>
      <c r="P25" s="1021" t="s">
        <v>311</v>
      </c>
      <c r="Q25" s="1021" t="s">
        <v>739</v>
      </c>
      <c r="R25" s="1021" t="s">
        <v>311</v>
      </c>
      <c r="S25" s="1021"/>
      <c r="T25" s="1028" t="s">
        <v>2065</v>
      </c>
      <c r="U25" s="910" t="s">
        <v>2065</v>
      </c>
      <c r="V25" s="910" t="s">
        <v>2065</v>
      </c>
      <c r="W25" s="910" t="s">
        <v>2065</v>
      </c>
      <c r="X25" s="907"/>
      <c r="Y25" s="1064"/>
      <c r="Z25" s="910"/>
      <c r="AA25" s="913"/>
      <c r="AB25" s="910"/>
      <c r="AC25" s="910"/>
      <c r="AD25" s="910"/>
    </row>
    <row customHeight="1" ht="18">
      <c r="A26" s="909"/>
      <c r="B26" s="963">
        <v>9</v>
      </c>
      <c r="C26" s="907" t="s">
        <v>656</v>
      </c>
      <c r="D26" s="1031"/>
      <c r="E26" s="907"/>
      <c r="F26" s="907"/>
      <c r="G26" s="955"/>
      <c r="H26" s="1022"/>
      <c r="I26" s="1069" t="str">
        <f>INDEX(TEMPLATE_NUMBER_POINT_FHD,B26,MATCH(TEMPLATE_SPHERE,TEMPLATE_SPHERE_LIST_FOR_NOTE,0))</f>
        <v>2.5.1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2.5.1</v>
      </c>
      <c r="M26" s="908" t="str">
        <f>IF(J26=0,"",J26)</f>
        <v>Средневзвешенная стоимость 1 кВт.ч (с учетом мощности)</v>
      </c>
      <c r="N26" s="908" t="str">
        <f>IF(K26=0,"",K26)</f>
        <v/>
      </c>
      <c r="O26" s="1021" t="s">
        <v>728</v>
      </c>
      <c r="P26" s="1021" t="s">
        <v>722</v>
      </c>
      <c r="Q26" s="1021" t="s">
        <v>2066</v>
      </c>
      <c r="R26" s="1021" t="s">
        <v>722</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2067</v>
      </c>
      <c r="V26" s="1028" t="s">
        <v>2067</v>
      </c>
      <c r="W26" s="1028" t="s">
        <v>2067</v>
      </c>
      <c r="X26" s="907"/>
      <c r="Y26" s="1064"/>
      <c r="Z26" s="910"/>
      <c r="AA26" s="913"/>
      <c r="AB26" s="910"/>
      <c r="AC26" s="910"/>
      <c r="AD26" s="910"/>
    </row>
    <row customHeight="1" ht="18">
      <c r="A27" s="909"/>
      <c r="B27" s="963">
        <v>10</v>
      </c>
      <c r="C27" s="907" t="s">
        <v>660</v>
      </c>
      <c r="D27" s="1031"/>
      <c r="E27" s="907"/>
      <c r="F27" s="907"/>
      <c r="G27" s="955"/>
      <c r="H27" s="1022"/>
      <c r="I27" s="1069" t="str">
        <f>INDEX(TEMPLATE_NUMBER_POINT_FHD,B27,MATCH(TEMPLATE_SPHERE,TEMPLATE_SPHERE_LIST_FOR_NOTE,0))</f>
        <v>2.5.2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2.5.2</v>
      </c>
      <c r="M27" s="908" t="str">
        <f>IF(J27=0,"",J27)</f>
        <v>Объём приобретения электрической энергии</v>
      </c>
      <c r="N27" s="908" t="str">
        <f>IF(K27=0,"",K27)</f>
        <v/>
      </c>
      <c r="O27" s="1021" t="s">
        <v>730</v>
      </c>
      <c r="P27" s="1021" t="s">
        <v>724</v>
      </c>
      <c r="Q27" s="1021" t="s">
        <v>2068</v>
      </c>
      <c r="R27" s="1021" t="s">
        <v>724</v>
      </c>
      <c r="S27" s="1021"/>
      <c r="T27" s="1028" t="s">
        <v>2069</v>
      </c>
      <c r="U27" s="1028" t="s">
        <v>2069</v>
      </c>
      <c r="V27" s="1028" t="s">
        <v>2069</v>
      </c>
      <c r="W27" s="1028" t="s">
        <v>2069</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732</v>
      </c>
      <c r="P28" s="1021"/>
      <c r="Q28" s="1021"/>
      <c r="R28" s="1021"/>
      <c r="S28" s="1021"/>
      <c r="T28" s="1028" t="s">
        <v>2070</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f>INDEX(TEMPLATE_NUMBER_POINT_FHD,B29,MATCH(TEMPLATE_SPHERE,TEMPLATE_SPHERE_LIST_FOR_NOTE,0))</f>
        <v>0</v>
      </c>
      <c r="J29" s="1069">
        <f>INDEX(TEMPLATE_DATA_POINT_FHD,B29,MATCH(TEMPLATE_SPHERE,TEMPLATE_SPHERE_LIST_FOR_NOTE,0))</f>
        <v>0</v>
      </c>
      <c r="K29" s="1069">
        <f>INDEX(TEMPLATE_NOTE_POINT_FHD,B29,MATCH(TEMPLATE_SPHERE,TEMPLATE_SPHERE_LIST_FOR_NOTE,0))</f>
        <v>0</v>
      </c>
      <c r="L29" s="908" t="str">
        <f>IF(I29=0,"",I29)</f>
        <v/>
      </c>
      <c r="M29" s="908" t="str">
        <f>IF(J29=0,"",J29)</f>
        <v/>
      </c>
      <c r="N29" s="908" t="str">
        <f>IF(K29=0,"",K29)</f>
        <v/>
      </c>
      <c r="O29" s="1021" t="s">
        <v>739</v>
      </c>
      <c r="P29" s="1021" t="s">
        <v>314</v>
      </c>
      <c r="Q29" s="1021"/>
      <c r="R29" s="1021" t="s">
        <v>314</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2071</v>
      </c>
      <c r="V29" s="910"/>
      <c r="W29" s="910" t="s">
        <v>2071</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741</v>
      </c>
      <c r="P30" s="1021" t="s">
        <v>732</v>
      </c>
      <c r="Q30" s="1021" t="s">
        <v>741</v>
      </c>
      <c r="R30" s="1021" t="s">
        <v>732</v>
      </c>
      <c r="S30" s="1021"/>
      <c r="T30" s="1028" t="s">
        <v>2072</v>
      </c>
      <c r="U30" s="910" t="s">
        <v>2072</v>
      </c>
      <c r="V30" s="910" t="s">
        <v>2072</v>
      </c>
      <c r="W30" s="910" t="s">
        <v>2072</v>
      </c>
      <c r="X30" s="907"/>
      <c r="Y30" s="1064"/>
      <c r="Z30" s="910"/>
      <c r="AA30" s="913" t="s">
        <v>2073</v>
      </c>
      <c r="AB30" s="913" t="s">
        <v>2073</v>
      </c>
      <c r="AC30" s="913" t="s">
        <v>2073</v>
      </c>
      <c r="AD30" s="910"/>
    </row>
    <row customHeight="1" ht="18">
      <c r="A31" s="909"/>
      <c r="B31" s="963">
        <v>14</v>
      </c>
      <c r="C31" s="907" t="s">
        <v>2074</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2075</v>
      </c>
      <c r="P31" s="1021" t="s">
        <v>735</v>
      </c>
      <c r="Q31" s="1021" t="s">
        <v>2075</v>
      </c>
      <c r="R31" s="1021" t="s">
        <v>735</v>
      </c>
      <c r="S31" s="1021"/>
      <c r="T31" s="1029" t="s">
        <v>2076</v>
      </c>
      <c r="U31" s="910" t="s">
        <v>2076</v>
      </c>
      <c r="V31" s="910" t="s">
        <v>2076</v>
      </c>
      <c r="W31" s="910" t="s">
        <v>2076</v>
      </c>
      <c r="X31" s="907"/>
      <c r="Y31" s="1064"/>
      <c r="Z31" s="910"/>
      <c r="AA31" s="913"/>
      <c r="AB31" s="913"/>
      <c r="AC31" s="913"/>
      <c r="AD31" s="910"/>
    </row>
    <row customHeight="1" ht="36">
      <c r="A32" s="909"/>
      <c r="B32" s="963">
        <v>15</v>
      </c>
      <c r="C32" s="907" t="s">
        <v>2077</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2078</v>
      </c>
      <c r="P32" s="1021" t="s">
        <v>737</v>
      </c>
      <c r="Q32" s="1021" t="s">
        <v>2078</v>
      </c>
      <c r="R32" s="1021" t="s">
        <v>737</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2079</v>
      </c>
      <c r="V32" s="910" t="s">
        <v>2079</v>
      </c>
      <c r="W32" s="910" t="s">
        <v>2079</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743</v>
      </c>
      <c r="P33" s="1021" t="s">
        <v>739</v>
      </c>
      <c r="Q33" s="1021" t="s">
        <v>743</v>
      </c>
      <c r="R33" s="1021" t="s">
        <v>739</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2080</v>
      </c>
      <c r="V33" s="910" t="s">
        <v>2080</v>
      </c>
      <c r="W33" s="910" t="s">
        <v>2081</v>
      </c>
      <c r="X33" s="907"/>
      <c r="Y33" s="1064"/>
      <c r="Z33" s="910"/>
      <c r="AA33" s="913" t="s">
        <v>2082</v>
      </c>
      <c r="AB33" s="913" t="s">
        <v>2082</v>
      </c>
      <c r="AC33" s="913" t="s">
        <v>2082</v>
      </c>
      <c r="AD33" s="910"/>
    </row>
    <row customHeight="1" ht="27">
      <c r="A34" s="909"/>
      <c r="B34" s="963">
        <v>17</v>
      </c>
      <c r="C34" s="907" t="s">
        <v>2083</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2084</v>
      </c>
      <c r="P34" s="1021" t="s">
        <v>2066</v>
      </c>
      <c r="Q34" s="1021" t="s">
        <v>2084</v>
      </c>
      <c r="R34" s="1021" t="s">
        <v>2066</v>
      </c>
      <c r="S34" s="1021"/>
      <c r="T34" s="1030" t="s">
        <v>2085</v>
      </c>
      <c r="U34" s="910" t="s">
        <v>2085</v>
      </c>
      <c r="V34" s="910" t="s">
        <v>2085</v>
      </c>
      <c r="W34" s="910" t="s">
        <v>2086</v>
      </c>
      <c r="X34" s="907"/>
      <c r="Y34" s="1064"/>
      <c r="Z34" s="910"/>
      <c r="AA34" s="913"/>
      <c r="AB34" s="910"/>
      <c r="AC34" s="910"/>
      <c r="AD34" s="910"/>
    </row>
    <row customHeight="1" ht="45">
      <c r="A35" s="909"/>
      <c r="B35" s="963">
        <v>18</v>
      </c>
      <c r="C35" s="907" t="s">
        <v>2087</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2088</v>
      </c>
      <c r="P35" s="1021" t="s">
        <v>2068</v>
      </c>
      <c r="Q35" s="1021" t="s">
        <v>2088</v>
      </c>
      <c r="R35" s="1021" t="s">
        <v>2068</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2089</v>
      </c>
      <c r="V35" s="910" t="s">
        <v>2089</v>
      </c>
      <c r="W35" s="910" t="s">
        <v>2089</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745</v>
      </c>
      <c r="P36" s="1021" t="s">
        <v>741</v>
      </c>
      <c r="Q36" s="1021" t="s">
        <v>745</v>
      </c>
      <c r="R36" s="1021" t="s">
        <v>741</v>
      </c>
      <c r="S36" s="1021"/>
      <c r="T36" s="1028" t="s">
        <v>2090</v>
      </c>
      <c r="U36" s="910" t="s">
        <v>2090</v>
      </c>
      <c r="V36" s="910" t="s">
        <v>2090</v>
      </c>
      <c r="W36" s="910" t="s">
        <v>2090</v>
      </c>
      <c r="X36" s="907"/>
      <c r="Y36" s="1064"/>
      <c r="Z36" s="910"/>
      <c r="AA36" s="913"/>
      <c r="AB36" s="910"/>
      <c r="AC36" s="910"/>
      <c r="AD36" s="910"/>
    </row>
    <row customHeight="1" ht="18">
      <c r="A37" s="909"/>
      <c r="B37" s="963">
        <v>20</v>
      </c>
      <c r="C37" s="907" t="s">
        <v>2091</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2092</v>
      </c>
      <c r="P37" s="1021" t="s">
        <v>2075</v>
      </c>
      <c r="Q37" s="1021" t="s">
        <v>2092</v>
      </c>
      <c r="R37" s="1021" t="s">
        <v>2075</v>
      </c>
      <c r="S37" s="1021"/>
      <c r="T37" s="1028" t="s">
        <v>2093</v>
      </c>
      <c r="U37" s="910" t="s">
        <v>2093</v>
      </c>
      <c r="V37" s="910" t="s">
        <v>2093</v>
      </c>
      <c r="W37" s="910" t="s">
        <v>2093</v>
      </c>
      <c r="X37" s="907"/>
      <c r="Y37" s="1064"/>
      <c r="Z37" s="910"/>
      <c r="AA37" s="913"/>
      <c r="AB37" s="910"/>
      <c r="AC37" s="910"/>
      <c r="AD37" s="910"/>
    </row>
    <row customHeight="1" ht="18">
      <c r="A38" s="909"/>
      <c r="B38" s="963">
        <v>21</v>
      </c>
      <c r="C38" s="907" t="s">
        <v>2094</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2095</v>
      </c>
      <c r="P38" s="1021" t="s">
        <v>2078</v>
      </c>
      <c r="Q38" s="1021" t="s">
        <v>2095</v>
      </c>
      <c r="R38" s="1021" t="s">
        <v>2078</v>
      </c>
      <c r="S38" s="1021"/>
      <c r="T38" s="1028" t="s">
        <v>2096</v>
      </c>
      <c r="U38" s="910" t="s">
        <v>2096</v>
      </c>
      <c r="V38" s="910" t="s">
        <v>2096</v>
      </c>
      <c r="W38" s="910" t="s">
        <v>2096</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регулируемых видов деятельности в сфере горячего водоснабжения</v>
      </c>
      <c r="N39" s="908" t="str">
        <f>IF(K39=0,"",K39)</f>
        <v/>
      </c>
      <c r="O39" s="1021" t="s">
        <v>749</v>
      </c>
      <c r="P39" s="1021" t="s">
        <v>743</v>
      </c>
      <c r="Q39" s="1021" t="s">
        <v>749</v>
      </c>
      <c r="R39" s="1021" t="s">
        <v>743</v>
      </c>
      <c r="S39" s="1021"/>
      <c r="T39" s="1028" t="s">
        <v>2097</v>
      </c>
      <c r="U39" s="910" t="s">
        <v>2098</v>
      </c>
      <c r="V39" s="910" t="s">
        <v>2099</v>
      </c>
      <c r="W39" s="910" t="s">
        <v>2100</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2101</v>
      </c>
      <c r="P40" s="1021" t="s">
        <v>745</v>
      </c>
      <c r="Q40" s="1021" t="s">
        <v>2101</v>
      </c>
      <c r="R40" s="1021" t="s">
        <v>745</v>
      </c>
      <c r="S40" s="1021"/>
      <c r="T40" s="907" t="s">
        <v>2102</v>
      </c>
      <c r="U40" s="907" t="s">
        <v>2102</v>
      </c>
      <c r="V40" s="907" t="s">
        <v>2102</v>
      </c>
      <c r="W40" s="907" t="s">
        <v>2102</v>
      </c>
      <c r="X40" s="907"/>
      <c r="Y40" s="1064"/>
      <c r="Z40" s="910" t="s">
        <v>2103</v>
      </c>
      <c r="AA40" s="913" t="s">
        <v>2103</v>
      </c>
      <c r="AB40" s="913" t="s">
        <v>2103</v>
      </c>
      <c r="AC40" s="913" t="s">
        <v>2103</v>
      </c>
      <c r="AD40" s="910"/>
    </row>
    <row customHeight="1" ht="27">
      <c r="A41" s="909"/>
      <c r="B41" s="963">
        <v>24</v>
      </c>
      <c r="C41" s="907" t="s">
        <v>2104</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2105</v>
      </c>
      <c r="P41" s="1021" t="s">
        <v>2092</v>
      </c>
      <c r="Q41" s="1021" t="s">
        <v>2105</v>
      </c>
      <c r="R41" s="1021" t="s">
        <v>2092</v>
      </c>
      <c r="S41" s="1021"/>
      <c r="T41" s="907" t="s">
        <v>2106</v>
      </c>
      <c r="U41" s="907" t="s">
        <v>2106</v>
      </c>
      <c r="V41" s="907" t="s">
        <v>2106</v>
      </c>
      <c r="W41" s="907" t="s">
        <v>2106</v>
      </c>
      <c r="X41" s="907"/>
      <c r="Y41" s="1064"/>
      <c r="Z41" s="910" t="s">
        <v>2107</v>
      </c>
      <c r="AA41" s="910" t="s">
        <v>2107</v>
      </c>
      <c r="AB41" s="910" t="s">
        <v>2107</v>
      </c>
      <c r="AC41" s="910" t="s">
        <v>2107</v>
      </c>
      <c r="AD41" s="910"/>
    </row>
    <row customHeight="1" ht="27">
      <c r="A42" s="909"/>
      <c r="B42" s="963">
        <v>25</v>
      </c>
      <c r="C42" s="907" t="s">
        <v>2108</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2109</v>
      </c>
      <c r="P42" s="1021" t="s">
        <v>2095</v>
      </c>
      <c r="Q42" s="1021" t="s">
        <v>2109</v>
      </c>
      <c r="R42" s="1021" t="s">
        <v>2095</v>
      </c>
      <c r="S42" s="1021"/>
      <c r="T42" s="907" t="s">
        <v>2110</v>
      </c>
      <c r="U42" s="907" t="s">
        <v>2110</v>
      </c>
      <c r="V42" s="907" t="s">
        <v>2110</v>
      </c>
      <c r="W42" s="907" t="s">
        <v>2110</v>
      </c>
      <c r="X42" s="907"/>
      <c r="Y42" s="1064"/>
      <c r="Z42" s="910" t="s">
        <v>2111</v>
      </c>
      <c r="AA42" s="910" t="s">
        <v>2111</v>
      </c>
      <c r="AB42" s="910" t="s">
        <v>2111</v>
      </c>
      <c r="AC42" s="910" t="s">
        <v>2111</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2112</v>
      </c>
      <c r="P43" s="1021" t="s">
        <v>749</v>
      </c>
      <c r="Q43" s="1021" t="s">
        <v>2112</v>
      </c>
      <c r="R43" s="1021" t="s">
        <v>749</v>
      </c>
      <c r="S43" s="1021"/>
      <c r="T43" s="907" t="s">
        <v>2113</v>
      </c>
      <c r="U43" s="907" t="s">
        <v>2113</v>
      </c>
      <c r="V43" s="907" t="s">
        <v>2113</v>
      </c>
      <c r="W43" s="907" t="s">
        <v>2113</v>
      </c>
      <c r="X43" s="907"/>
      <c r="Y43" s="1064"/>
      <c r="Z43" s="910" t="s">
        <v>2114</v>
      </c>
      <c r="AA43" s="910" t="s">
        <v>2114</v>
      </c>
      <c r="AB43" s="910" t="s">
        <v>2114</v>
      </c>
      <c r="AC43" s="910" t="s">
        <v>2114</v>
      </c>
      <c r="AD43" s="910"/>
    </row>
    <row customHeight="1" ht="27">
      <c r="A44" s="909"/>
      <c r="B44" s="963">
        <v>27</v>
      </c>
      <c r="C44" s="907" t="s">
        <v>2115</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2116</v>
      </c>
      <c r="P44" s="1021" t="s">
        <v>2117</v>
      </c>
      <c r="Q44" s="1021" t="s">
        <v>2116</v>
      </c>
      <c r="R44" s="1021" t="s">
        <v>2117</v>
      </c>
      <c r="S44" s="1021"/>
      <c r="T44" s="907" t="s">
        <v>2106</v>
      </c>
      <c r="U44" s="907" t="s">
        <v>2106</v>
      </c>
      <c r="V44" s="907" t="s">
        <v>2106</v>
      </c>
      <c r="W44" s="907" t="s">
        <v>2106</v>
      </c>
      <c r="X44" s="907"/>
      <c r="Y44" s="1064"/>
      <c r="Z44" s="910" t="s">
        <v>2118</v>
      </c>
      <c r="AA44" s="910" t="s">
        <v>2118</v>
      </c>
      <c r="AB44" s="910" t="s">
        <v>2118</v>
      </c>
      <c r="AC44" s="910" t="s">
        <v>2118</v>
      </c>
      <c r="AD44" s="910"/>
    </row>
    <row customHeight="1" ht="27">
      <c r="A45" s="909"/>
      <c r="B45" s="963">
        <v>28</v>
      </c>
      <c r="C45" s="907" t="s">
        <v>2119</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2120</v>
      </c>
      <c r="P45" s="1021" t="s">
        <v>2121</v>
      </c>
      <c r="Q45" s="1021" t="s">
        <v>2120</v>
      </c>
      <c r="R45" s="1021" t="s">
        <v>2121</v>
      </c>
      <c r="S45" s="1021"/>
      <c r="T45" s="907" t="s">
        <v>2110</v>
      </c>
      <c r="U45" s="907" t="s">
        <v>2110</v>
      </c>
      <c r="V45" s="907" t="s">
        <v>2110</v>
      </c>
      <c r="W45" s="907" t="s">
        <v>2110</v>
      </c>
      <c r="X45" s="907"/>
      <c r="Y45" s="1064"/>
      <c r="Z45" s="910" t="s">
        <v>2122</v>
      </c>
      <c r="AA45" s="910" t="s">
        <v>2122</v>
      </c>
      <c r="AB45" s="910" t="s">
        <v>2122</v>
      </c>
      <c r="AC45" s="910" t="s">
        <v>2122</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2123</v>
      </c>
      <c r="P46" s="1021" t="s">
        <v>2101</v>
      </c>
      <c r="Q46" s="1021" t="s">
        <v>2123</v>
      </c>
      <c r="R46" s="1021" t="s">
        <v>2101</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2124</v>
      </c>
      <c r="V46" s="907" t="s">
        <v>2124</v>
      </c>
      <c r="W46" s="907" t="s">
        <v>2124</v>
      </c>
      <c r="X46" s="907"/>
      <c r="Y46" s="1064"/>
      <c r="Z46" s="910" t="s">
        <v>2125</v>
      </c>
      <c r="AA46" s="910" t="s">
        <v>2126</v>
      </c>
      <c r="AB46" s="910" t="s">
        <v>2126</v>
      </c>
      <c r="AC46" s="910" t="s">
        <v>2126</v>
      </c>
      <c r="AD46" s="910"/>
    </row>
    <row customHeight="1" ht="54">
      <c r="A47" s="909"/>
      <c r="B47" s="963">
        <v>30</v>
      </c>
      <c r="C47" s="907" t="s">
        <v>2127</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2128</v>
      </c>
      <c r="P47" s="1021" t="s">
        <v>2105</v>
      </c>
      <c r="Q47" s="1021" t="s">
        <v>2128</v>
      </c>
      <c r="R47" s="1021" t="s">
        <v>2105</v>
      </c>
      <c r="S47" s="1021"/>
      <c r="T47" s="907" t="s">
        <v>2129</v>
      </c>
      <c r="U47" s="907" t="s">
        <v>2129</v>
      </c>
      <c r="V47" s="907" t="s">
        <v>2129</v>
      </c>
      <c r="W47" s="907" t="s">
        <v>2129</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2.13</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2.13</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2112</v>
      </c>
      <c r="Q48" s="1021" t="s">
        <v>2130</v>
      </c>
      <c r="R48" s="1021" t="s">
        <v>2112</v>
      </c>
      <c r="S48" s="1021"/>
      <c r="T48" s="907"/>
      <c r="U48" s="907" t="s">
        <v>2131</v>
      </c>
      <c r="V48" s="907" t="s">
        <v>2132</v>
      </c>
      <c r="W48" s="907" t="s">
        <v>2132</v>
      </c>
      <c r="X48" s="907"/>
      <c r="Y48" s="1064"/>
      <c r="Z48" s="910"/>
      <c r="AA48" s="913" t="s">
        <v>2126</v>
      </c>
      <c r="AB48" s="913" t="s">
        <v>2126</v>
      </c>
      <c r="AC48" s="913" t="s">
        <v>2126</v>
      </c>
      <c r="AD48" s="910"/>
    </row>
    <row customHeight="1" ht="54">
      <c r="A49" s="909"/>
      <c r="B49" s="963">
        <v>32</v>
      </c>
      <c r="C49" s="907" t="s">
        <v>2133</v>
      </c>
      <c r="D49" s="1031"/>
      <c r="E49" s="907"/>
      <c r="F49" s="907"/>
      <c r="G49" s="907"/>
      <c r="H49" s="955"/>
      <c r="I49" s="1069" t="str">
        <f>INDEX(TEMPLATE_NUMBER_POINT_FHD,B49,MATCH(TEMPLATE_SPHERE,TEMPLATE_SPHERE_LIST_FOR_NOTE,0))</f>
        <v>2.13.1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2.13.1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2116</v>
      </c>
      <c r="Q49" s="1021" t="s">
        <v>2134</v>
      </c>
      <c r="R49" s="1021" t="s">
        <v>2116</v>
      </c>
      <c r="S49" s="1021"/>
      <c r="T49" s="907"/>
      <c r="U49" s="907" t="s">
        <v>2129</v>
      </c>
      <c r="V49" s="907" t="s">
        <v>2129</v>
      </c>
      <c r="W49" s="907" t="s">
        <v>2129</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2.14</v>
      </c>
      <c r="J50" s="106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2.14</v>
      </c>
      <c r="M50" s="90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2130</v>
      </c>
      <c r="P50" s="1021" t="s">
        <v>2123</v>
      </c>
      <c r="Q50" s="1021" t="s">
        <v>2135</v>
      </c>
      <c r="R50" s="1021" t="s">
        <v>2123</v>
      </c>
      <c r="S50" s="1021"/>
      <c r="T50" s="907" t="s">
        <v>2136</v>
      </c>
      <c r="U50" s="907" t="s">
        <v>2137</v>
      </c>
      <c r="V50" s="907" t="s">
        <v>2138</v>
      </c>
      <c r="W50" s="907" t="s">
        <v>2139</v>
      </c>
      <c r="X50" s="907"/>
      <c r="Y50" s="1064"/>
      <c r="Z50" s="910" t="s">
        <v>2140</v>
      </c>
      <c r="AA50" s="913" t="s">
        <v>2141</v>
      </c>
      <c r="AB50" s="913" t="s">
        <v>2141</v>
      </c>
      <c r="AC50" s="913" t="s">
        <v>2141</v>
      </c>
      <c r="AD50" s="910"/>
    </row>
    <row customHeight="1" ht="27">
      <c r="A51" s="909"/>
      <c r="B51" s="963">
        <v>34</v>
      </c>
      <c r="C51" s="907" t="s">
        <v>2142</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91</v>
      </c>
      <c r="P51" s="1021"/>
      <c r="Q51" s="1021"/>
      <c r="R51" s="1021"/>
      <c r="S51" s="1021"/>
      <c r="T51" s="907" t="s">
        <v>2143</v>
      </c>
      <c r="U51" s="907"/>
      <c r="V51" s="907"/>
      <c r="W51" s="907"/>
      <c r="X51" s="907"/>
      <c r="Y51" s="1064"/>
      <c r="Z51" s="910"/>
      <c r="AA51" s="913"/>
      <c r="AB51" s="913"/>
      <c r="AC51" s="913"/>
      <c r="AD51" s="910"/>
    </row>
    <row customHeight="1" ht="36">
      <c r="A52" s="909"/>
      <c r="B52" s="963">
        <v>35</v>
      </c>
      <c r="C52" s="907" t="s">
        <v>2036</v>
      </c>
      <c r="D52" s="1031" t="s">
        <v>2036</v>
      </c>
      <c r="E52" s="907" t="s">
        <v>2036</v>
      </c>
      <c r="F52" s="907" t="s">
        <v>2036</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горячего водоснабжения, в том числе:</v>
      </c>
      <c r="N52" s="908" t="str">
        <f>IF(K52=0,"",K52)</f>
        <v>Указывается общая сумма чистой прибыли, полученной от регулируемого вида деятельности.</v>
      </c>
      <c r="O52" s="1021" t="s">
        <v>92</v>
      </c>
      <c r="P52" s="1021" t="s">
        <v>91</v>
      </c>
      <c r="Q52" s="1021" t="s">
        <v>91</v>
      </c>
      <c r="R52" s="1021" t="s">
        <v>91</v>
      </c>
      <c r="S52" s="1021"/>
      <c r="T52" s="907" t="s">
        <v>2144</v>
      </c>
      <c r="U52" s="907" t="s">
        <v>2145</v>
      </c>
      <c r="V52" s="907" t="s">
        <v>2146</v>
      </c>
      <c r="W52" s="907" t="s">
        <v>2147</v>
      </c>
      <c r="X52" s="907"/>
      <c r="Y52" s="1064"/>
      <c r="Z52" s="910" t="s">
        <v>753</v>
      </c>
      <c r="AA52" s="913" t="s">
        <v>753</v>
      </c>
      <c r="AB52" s="913" t="s">
        <v>753</v>
      </c>
      <c r="AC52" s="913" t="s">
        <v>753</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757</v>
      </c>
      <c r="P53" s="1021" t="s">
        <v>328</v>
      </c>
      <c r="Q53" s="1021" t="s">
        <v>328</v>
      </c>
      <c r="R53" s="1021" t="s">
        <v>328</v>
      </c>
      <c r="S53" s="1021"/>
      <c r="T53" s="907" t="s">
        <v>2148</v>
      </c>
      <c r="U53" s="907" t="s">
        <v>2148</v>
      </c>
      <c r="V53" s="907" t="s">
        <v>2148</v>
      </c>
      <c r="W53" s="907" t="s">
        <v>2148</v>
      </c>
      <c r="X53" s="907"/>
      <c r="Y53" s="1064"/>
      <c r="Z53" s="910"/>
      <c r="AA53" s="913"/>
      <c r="AB53" s="910"/>
      <c r="AC53" s="910"/>
      <c r="AD53" s="910"/>
    </row>
    <row customHeight="1" ht="18">
      <c r="A54" s="909"/>
      <c r="B54" s="963">
        <v>37</v>
      </c>
      <c r="C54" s="907" t="s">
        <v>2042</v>
      </c>
      <c r="D54" s="1031" t="s">
        <v>2042</v>
      </c>
      <c r="E54" s="907" t="s">
        <v>2042</v>
      </c>
      <c r="F54" s="907" t="s">
        <v>2042</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112</v>
      </c>
      <c r="P54" s="1021" t="s">
        <v>92</v>
      </c>
      <c r="Q54" s="1021" t="s">
        <v>92</v>
      </c>
      <c r="R54" s="1021" t="s">
        <v>92</v>
      </c>
      <c r="S54" s="1021"/>
      <c r="T54" s="907" t="s">
        <v>755</v>
      </c>
      <c r="U54" s="907" t="s">
        <v>755</v>
      </c>
      <c r="V54" s="907" t="s">
        <v>755</v>
      </c>
      <c r="W54" s="907" t="s">
        <v>755</v>
      </c>
      <c r="X54" s="907"/>
      <c r="Y54" s="1064"/>
      <c r="Z54" s="910" t="s">
        <v>756</v>
      </c>
      <c r="AA54" s="910" t="s">
        <v>756</v>
      </c>
      <c r="AB54" s="910" t="s">
        <v>756</v>
      </c>
      <c r="AC54" s="910" t="s">
        <v>756</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317</v>
      </c>
      <c r="P55" s="1021" t="s">
        <v>757</v>
      </c>
      <c r="Q55" s="1021" t="s">
        <v>757</v>
      </c>
      <c r="R55" s="1021" t="s">
        <v>757</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2149</v>
      </c>
      <c r="V55" s="907" t="s">
        <v>2149</v>
      </c>
      <c r="W55" s="907" t="s">
        <v>2149</v>
      </c>
      <c r="X55" s="907"/>
      <c r="Y55" s="1064"/>
      <c r="Z55" s="910" t="s">
        <v>2150</v>
      </c>
      <c r="AA55" s="910" t="s">
        <v>2150</v>
      </c>
      <c r="AB55" s="910" t="s">
        <v>2150</v>
      </c>
      <c r="AC55" s="910" t="s">
        <v>2150</v>
      </c>
      <c r="AD55" s="910"/>
    </row>
    <row customHeight="1" ht="27">
      <c r="A56" s="909"/>
      <c r="B56" s="963">
        <v>39</v>
      </c>
      <c r="C56" s="907" t="s">
        <v>1025</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1147</v>
      </c>
      <c r="P56" s="1021" t="s">
        <v>760</v>
      </c>
      <c r="Q56" s="1021" t="s">
        <v>760</v>
      </c>
      <c r="R56" s="1021" t="s">
        <v>760</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2151</v>
      </c>
      <c r="V56" s="907" t="s">
        <v>2151</v>
      </c>
      <c r="W56" s="907" t="s">
        <v>2151</v>
      </c>
      <c r="X56" s="907"/>
      <c r="Y56" s="1064"/>
      <c r="Z56" s="910" t="s">
        <v>762</v>
      </c>
      <c r="AA56" s="910" t="s">
        <v>762</v>
      </c>
      <c r="AB56" s="910" t="s">
        <v>762</v>
      </c>
      <c r="AC56" s="910" t="s">
        <v>762</v>
      </c>
      <c r="AD56" s="910"/>
    </row>
    <row customHeight="1" ht="27">
      <c r="A57" s="909"/>
      <c r="B57" s="963">
        <v>40</v>
      </c>
      <c r="C57" s="907" t="s">
        <v>1027</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2152</v>
      </c>
      <c r="P57" s="1021" t="s">
        <v>763</v>
      </c>
      <c r="Q57" s="1021" t="s">
        <v>763</v>
      </c>
      <c r="R57" s="1021" t="s">
        <v>763</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2153</v>
      </c>
      <c r="V57" s="907" t="s">
        <v>2153</v>
      </c>
      <c r="W57" s="907" t="s">
        <v>2153</v>
      </c>
      <c r="X57" s="907"/>
      <c r="Y57" s="1064"/>
      <c r="Z57" s="910" t="s">
        <v>765</v>
      </c>
      <c r="AA57" s="910" t="s">
        <v>765</v>
      </c>
      <c r="AB57" s="910" t="s">
        <v>765</v>
      </c>
      <c r="AC57" s="910" t="s">
        <v>765</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885</v>
      </c>
      <c r="P58" s="1021" t="s">
        <v>799</v>
      </c>
      <c r="Q58" s="1021" t="s">
        <v>799</v>
      </c>
      <c r="R58" s="1021" t="s">
        <v>799</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2154</v>
      </c>
      <c r="V58" s="907" t="s">
        <v>2154</v>
      </c>
      <c r="W58" s="907" t="s">
        <v>2154</v>
      </c>
      <c r="X58" s="907"/>
      <c r="Y58" s="1064"/>
      <c r="Z58" s="910"/>
      <c r="AA58" s="913"/>
      <c r="AB58" s="910"/>
      <c r="AC58" s="910"/>
      <c r="AD58" s="910"/>
    </row>
    <row customHeight="1" ht="36">
      <c r="A59" s="909"/>
      <c r="B59" s="963">
        <v>42</v>
      </c>
      <c r="C59" s="907">
        <v>3</v>
      </c>
      <c r="D59" s="1031" t="s">
        <v>2142</v>
      </c>
      <c r="E59" s="907" t="s">
        <v>2142</v>
      </c>
      <c r="F59" s="907" t="s">
        <v>2142</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горячего водоснабжения</v>
      </c>
      <c r="N59" s="908" t="str">
        <f>IF(K59=0,"",K59)</f>
        <v/>
      </c>
      <c r="O59" s="1021"/>
      <c r="P59" s="1021" t="s">
        <v>112</v>
      </c>
      <c r="Q59" s="1021" t="s">
        <v>112</v>
      </c>
      <c r="R59" s="1021" t="s">
        <v>112</v>
      </c>
      <c r="S59" s="1021"/>
      <c r="T59" s="907"/>
      <c r="U59" s="907" t="s">
        <v>2155</v>
      </c>
      <c r="V59" s="907" t="s">
        <v>2156</v>
      </c>
      <c r="W59" s="907" t="s">
        <v>2157</v>
      </c>
      <c r="X59" s="907"/>
      <c r="Y59" s="1064"/>
      <c r="Z59" s="910"/>
      <c r="AA59" s="913"/>
      <c r="AB59" s="910"/>
      <c r="AC59" s="910"/>
      <c r="AD59" s="910"/>
    </row>
    <row customHeight="1" ht="81">
      <c r="A60" s="909"/>
      <c r="B60" s="963">
        <v>43</v>
      </c>
      <c r="C60" s="907" t="s">
        <v>2158</v>
      </c>
      <c r="D60" s="1031" t="s">
        <v>2158</v>
      </c>
      <c r="E60" s="907" t="s">
        <v>2158</v>
      </c>
      <c r="F60" s="907" t="s">
        <v>2158</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1" t="s">
        <v>93</v>
      </c>
      <c r="P60" s="1021" t="s">
        <v>93</v>
      </c>
      <c r="Q60" s="1021" t="s">
        <v>93</v>
      </c>
      <c r="R60" s="1021" t="s">
        <v>93</v>
      </c>
      <c r="S60" s="1021"/>
      <c r="T60" s="907" t="s">
        <v>633</v>
      </c>
      <c r="U60" s="907" t="s">
        <v>633</v>
      </c>
      <c r="V60" s="907" t="s">
        <v>633</v>
      </c>
      <c r="W60" s="907" t="s">
        <v>633</v>
      </c>
      <c r="X60" s="907"/>
      <c r="Y60" s="1064"/>
      <c r="Z60" s="910" t="s">
        <v>2159</v>
      </c>
      <c r="AA60" s="913" t="s">
        <v>2160</v>
      </c>
      <c r="AB60" s="910" t="s">
        <v>2161</v>
      </c>
      <c r="AC60" s="910" t="s">
        <v>2160</v>
      </c>
      <c r="AD60" s="910"/>
    </row>
    <row customHeight="1" ht="9">
      <c r="A61" s="909"/>
      <c r="B61" s="963">
        <v>44</v>
      </c>
      <c r="C61" s="907"/>
      <c r="D61" s="1031" t="s">
        <v>2162</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94</v>
      </c>
      <c r="Q61" s="1021"/>
      <c r="R61" s="1021"/>
      <c r="S61" s="1021"/>
      <c r="T61" s="907"/>
      <c r="U61" s="907" t="s">
        <v>2163</v>
      </c>
      <c r="V61" s="907"/>
      <c r="W61" s="907"/>
      <c r="X61" s="907"/>
      <c r="Y61" s="1064"/>
      <c r="Z61" s="910"/>
      <c r="AA61" s="913"/>
      <c r="AB61" s="910"/>
      <c r="AC61" s="910"/>
      <c r="AD61" s="910"/>
    </row>
    <row customHeight="1" ht="9">
      <c r="A62" s="909"/>
      <c r="B62" s="963">
        <v>45</v>
      </c>
      <c r="C62" s="907"/>
      <c r="D62" s="1031" t="s">
        <v>2164</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113</v>
      </c>
      <c r="Q62" s="1021"/>
      <c r="R62" s="1021"/>
      <c r="S62" s="1021"/>
      <c r="T62" s="907"/>
      <c r="U62" s="907" t="s">
        <v>2165</v>
      </c>
      <c r="V62" s="907"/>
      <c r="W62" s="907"/>
      <c r="X62" s="907"/>
      <c r="Y62" s="1064"/>
      <c r="Z62" s="910"/>
      <c r="AA62" s="913"/>
      <c r="AB62" s="910"/>
      <c r="AC62" s="910"/>
      <c r="AD62" s="910"/>
    </row>
    <row customHeight="1" ht="18">
      <c r="A63" s="909"/>
      <c r="B63" s="963">
        <v>46</v>
      </c>
      <c r="C63" s="907"/>
      <c r="D63" s="1031" t="s">
        <v>2166</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149</v>
      </c>
      <c r="Q63" s="1021"/>
      <c r="R63" s="1021"/>
      <c r="S63" s="1021"/>
      <c r="T63" s="907"/>
      <c r="U63" s="907" t="s">
        <v>2167</v>
      </c>
      <c r="V63" s="907"/>
      <c r="W63" s="907"/>
      <c r="X63" s="907"/>
      <c r="Y63" s="1064"/>
      <c r="Z63" s="910"/>
      <c r="AA63" s="913"/>
      <c r="AB63" s="910"/>
      <c r="AC63" s="910"/>
      <c r="AD63" s="910"/>
    </row>
    <row customHeight="1" ht="18">
      <c r="A64" s="909"/>
      <c r="B64" s="963">
        <v>47</v>
      </c>
      <c r="C64" s="907"/>
      <c r="D64" s="1031" t="s">
        <v>2168</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150</v>
      </c>
      <c r="Q64" s="1021"/>
      <c r="R64" s="1021"/>
      <c r="S64" s="1021"/>
      <c r="T64" s="907"/>
      <c r="U64" s="907" t="s">
        <v>2169</v>
      </c>
      <c r="V64" s="907"/>
      <c r="W64" s="907"/>
      <c r="X64" s="907"/>
      <c r="Y64" s="1064"/>
      <c r="Z64" s="910"/>
      <c r="AA64" s="913" t="s">
        <v>2170</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2083</v>
      </c>
      <c r="Q65" s="1021"/>
      <c r="R65" s="1021"/>
      <c r="S65" s="1021"/>
      <c r="T65" s="907"/>
      <c r="U65" s="907" t="s">
        <v>2171</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2087</v>
      </c>
      <c r="Q66" s="1021"/>
      <c r="R66" s="1021"/>
      <c r="S66" s="1021"/>
      <c r="T66" s="907"/>
      <c r="U66" s="907" t="s">
        <v>2172</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2173</v>
      </c>
      <c r="Q67" s="1021"/>
      <c r="R67" s="1021"/>
      <c r="S67" s="1021"/>
      <c r="T67" s="907"/>
      <c r="U67" s="907" t="s">
        <v>2174</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2175</v>
      </c>
      <c r="Q68" s="1021"/>
      <c r="R68" s="1021"/>
      <c r="S68" s="1021"/>
      <c r="T68" s="907"/>
      <c r="U68" s="907" t="s">
        <v>2176</v>
      </c>
      <c r="V68" s="907"/>
      <c r="W68" s="907"/>
      <c r="X68" s="907"/>
      <c r="Y68" s="1064"/>
      <c r="Z68" s="910"/>
      <c r="AA68" s="913"/>
      <c r="AB68" s="910"/>
      <c r="AC68" s="910"/>
      <c r="AD68" s="910"/>
    </row>
    <row customHeight="1" ht="9">
      <c r="A69" s="909"/>
      <c r="B69" s="963">
        <v>52</v>
      </c>
      <c r="C69" s="907"/>
      <c r="D69" s="1031" t="s">
        <v>2177</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151</v>
      </c>
      <c r="Q69" s="1021"/>
      <c r="R69" s="1021"/>
      <c r="S69" s="1021"/>
      <c r="T69" s="907"/>
      <c r="U69" s="907" t="s">
        <v>2178</v>
      </c>
      <c r="V69" s="907"/>
      <c r="W69" s="907"/>
      <c r="X69" s="907"/>
      <c r="Y69" s="1064"/>
      <c r="Z69" s="910"/>
      <c r="AA69" s="913"/>
      <c r="AB69" s="910"/>
      <c r="AC69" s="910"/>
      <c r="AD69" s="910"/>
    </row>
    <row customHeight="1" ht="27">
      <c r="A70" s="909"/>
      <c r="B70" s="963">
        <v>53</v>
      </c>
      <c r="C70" s="907"/>
      <c r="D70" s="1031"/>
      <c r="E70" s="907" t="s">
        <v>2162</v>
      </c>
      <c r="F70" s="907"/>
      <c r="G70" s="907"/>
      <c r="H70" s="955"/>
      <c r="I70" s="1069" t="str">
        <f>INDEX(TEMPLATE_NUMBER_POINT_FHD,B70,MATCH(TEMPLATE_SPHERE,TEMPLATE_SPHERE_LIST_FOR_NOTE,0))</f>
        <v>7</v>
      </c>
      <c r="J70" s="1069" t="str">
        <f>INDEX(TEMPLATE_DATA_POINT_FHD,B70,MATCH(TEMPLATE_SPHERE,TEMPLATE_SPHERE_LIST_FOR_NOTE,0))</f>
        <v>Объём приобретаемой холодной воды, используемой для горячего водоснабжения</v>
      </c>
      <c r="K70" s="1069">
        <f>INDEX(TEMPLATE_NOTE_POINT_FHD,B70,MATCH(TEMPLATE_SPHERE,TEMPLATE_SPHERE_LIST_FOR_NOTE,0))</f>
        <v>0</v>
      </c>
      <c r="L70" s="908" t="str">
        <f>IF(I70=0,"",I70)</f>
        <v>7</v>
      </c>
      <c r="M70" s="908" t="str">
        <f>IF(J70=0,"",J70)</f>
        <v>Объём приобретаемой холодной воды, используемой для горячего водоснабжения</v>
      </c>
      <c r="N70" s="908" t="str">
        <f>IF(K70=0,"",K70)</f>
        <v/>
      </c>
      <c r="O70" s="1021"/>
      <c r="P70" s="1021"/>
      <c r="Q70" s="1021" t="s">
        <v>94</v>
      </c>
      <c r="R70" s="1021"/>
      <c r="S70" s="1021"/>
      <c r="T70" s="907"/>
      <c r="U70" s="907"/>
      <c r="V70" s="907" t="s">
        <v>2179</v>
      </c>
      <c r="W70" s="907"/>
      <c r="X70" s="907"/>
      <c r="Y70" s="1064"/>
      <c r="Z70" s="910"/>
      <c r="AA70" s="913"/>
      <c r="AB70" s="910"/>
      <c r="AC70" s="910"/>
      <c r="AD70" s="910"/>
    </row>
    <row customHeight="1" ht="36">
      <c r="A71" s="909"/>
      <c r="B71" s="963">
        <v>54</v>
      </c>
      <c r="C71" s="907"/>
      <c r="D71" s="1031"/>
      <c r="E71" s="907" t="s">
        <v>2164</v>
      </c>
      <c r="F71" s="907"/>
      <c r="G71" s="907"/>
      <c r="H71" s="955"/>
      <c r="I71" s="1069" t="str">
        <f>INDEX(TEMPLATE_NUMBER_POINT_FHD,B71,MATCH(TEMPLATE_SPHERE,TEMPLATE_SPHERE_LIST_FOR_NOTE,0))</f>
        <v>8</v>
      </c>
      <c r="J71" s="106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69">
        <f>INDEX(TEMPLATE_NOTE_POINT_FHD,B71,MATCH(TEMPLATE_SPHERE,TEMPLATE_SPHERE_LIST_FOR_NOTE,0))</f>
        <v>0</v>
      </c>
      <c r="L71" s="908" t="str">
        <f>IF(I71=0,"",I71)</f>
        <v>8</v>
      </c>
      <c r="M71" s="908" t="str">
        <f>IF(J71=0,"",J71)</f>
        <v>Объём холодной воды, получаемой с применением собственных источников водозабора (скважин) и используемой для горячего водоснабжения</v>
      </c>
      <c r="N71" s="908" t="str">
        <f>IF(K71=0,"",K71)</f>
        <v/>
      </c>
      <c r="O71" s="1021"/>
      <c r="P71" s="1021"/>
      <c r="Q71" s="1021" t="s">
        <v>113</v>
      </c>
      <c r="R71" s="1021"/>
      <c r="S71" s="1021"/>
      <c r="T71" s="907"/>
      <c r="U71" s="907"/>
      <c r="V71" s="907" t="s">
        <v>2180</v>
      </c>
      <c r="W71" s="907"/>
      <c r="X71" s="907"/>
      <c r="Y71" s="1064"/>
      <c r="Z71" s="910"/>
      <c r="AA71" s="913"/>
      <c r="AB71" s="910"/>
      <c r="AC71" s="910"/>
      <c r="AD71" s="910"/>
    </row>
    <row customHeight="1" ht="27">
      <c r="A72" s="909"/>
      <c r="B72" s="963">
        <v>55</v>
      </c>
      <c r="C72" s="907"/>
      <c r="D72" s="1031"/>
      <c r="E72" s="907" t="s">
        <v>2166</v>
      </c>
      <c r="F72" s="907"/>
      <c r="G72" s="907"/>
      <c r="H72" s="955"/>
      <c r="I72" s="1069" t="str">
        <f>INDEX(TEMPLATE_NUMBER_POINT_FHD,B72,MATCH(TEMPLATE_SPHERE,TEMPLATE_SPHERE_LIST_FOR_NOTE,0))</f>
        <v>9</v>
      </c>
      <c r="J72" s="1069" t="str">
        <f>INDEX(TEMPLATE_DATA_POINT_FHD,B72,MATCH(TEMPLATE_SPHERE,TEMPLATE_SPHERE_LIST_FOR_NOTE,0))</f>
        <v>Объём приобретаемой тепловой энергии (мощности), используемой для горячего водоснабжения</v>
      </c>
      <c r="K72" s="1069">
        <f>INDEX(TEMPLATE_NOTE_POINT_FHD,B72,MATCH(TEMPLATE_SPHERE,TEMPLATE_SPHERE_LIST_FOR_NOTE,0))</f>
        <v>0</v>
      </c>
      <c r="L72" s="908" t="str">
        <f>IF(I72=0,"",I72)</f>
        <v>9</v>
      </c>
      <c r="M72" s="908" t="str">
        <f>IF(J72=0,"",J72)</f>
        <v>Объём приобретаемой тепловой энергии (мощности), используемой для горячего водоснабжения</v>
      </c>
      <c r="N72" s="908" t="str">
        <f>IF(K72=0,"",K72)</f>
        <v/>
      </c>
      <c r="O72" s="1021"/>
      <c r="P72" s="1021"/>
      <c r="Q72" s="1021" t="s">
        <v>149</v>
      </c>
      <c r="R72" s="1021"/>
      <c r="S72" s="1021"/>
      <c r="T72" s="907"/>
      <c r="U72" s="907"/>
      <c r="V72" s="907" t="s">
        <v>2181</v>
      </c>
      <c r="W72" s="907"/>
      <c r="X72" s="907"/>
      <c r="Y72" s="1064"/>
      <c r="Z72" s="910"/>
      <c r="AA72" s="913"/>
      <c r="AB72" s="910"/>
      <c r="AC72" s="910"/>
      <c r="AD72" s="910"/>
    </row>
    <row customHeight="1" ht="36">
      <c r="A73" s="909"/>
      <c r="B73" s="963">
        <v>56</v>
      </c>
      <c r="C73" s="907"/>
      <c r="D73" s="1031"/>
      <c r="E73" s="907" t="s">
        <v>2168</v>
      </c>
      <c r="F73" s="907"/>
      <c r="G73" s="907"/>
      <c r="H73" s="955"/>
      <c r="I73" s="1069" t="str">
        <f>INDEX(TEMPLATE_NUMBER_POINT_FHD,B73,MATCH(TEMPLATE_SPHERE,TEMPLATE_SPHERE_LIST_FOR_NOTE,0))</f>
        <v>10</v>
      </c>
      <c r="J73" s="106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69">
        <f>INDEX(TEMPLATE_NOTE_POINT_FHD,B73,MATCH(TEMPLATE_SPHERE,TEMPLATE_SPHERE_LIST_FOR_NOTE,0))</f>
        <v>0</v>
      </c>
      <c r="L73" s="908" t="str">
        <f>IF(I73=0,"",I73)</f>
        <v>10</v>
      </c>
      <c r="M73" s="908" t="str">
        <f>IF(J73=0,"",J73)</f>
        <v>Объём тепловой энергии, производимой с применением собственных источников и используемой для горячего водоснабжения</v>
      </c>
      <c r="N73" s="908" t="str">
        <f>IF(K73=0,"",K73)</f>
        <v/>
      </c>
      <c r="O73" s="1021"/>
      <c r="P73" s="1021"/>
      <c r="Q73" s="1021" t="s">
        <v>150</v>
      </c>
      <c r="R73" s="1021"/>
      <c r="S73" s="1021"/>
      <c r="T73" s="907"/>
      <c r="U73" s="907"/>
      <c r="V73" s="907" t="s">
        <v>2182</v>
      </c>
      <c r="W73" s="907"/>
      <c r="X73" s="907"/>
      <c r="Y73" s="1064"/>
      <c r="Z73" s="910"/>
      <c r="AA73" s="913"/>
      <c r="AB73" s="910"/>
      <c r="AC73" s="910"/>
      <c r="AD73" s="910"/>
    </row>
    <row customHeight="1" ht="18">
      <c r="A74" s="909"/>
      <c r="B74" s="963">
        <v>57</v>
      </c>
      <c r="C74" s="907"/>
      <c r="D74" s="1031"/>
      <c r="E74" s="907" t="s">
        <v>2177</v>
      </c>
      <c r="F74" s="907"/>
      <c r="G74" s="907"/>
      <c r="H74" s="955"/>
      <c r="I74" s="1069" t="str">
        <f>INDEX(TEMPLATE_NUMBER_POINT_FHD,B74,MATCH(TEMPLATE_SPHERE,TEMPLATE_SPHERE_LIST_FOR_NOTE,0))</f>
        <v>11</v>
      </c>
      <c r="J74" s="1069" t="str">
        <f>INDEX(TEMPLATE_DATA_POINT_FHD,B74,MATCH(TEMPLATE_SPHERE,TEMPLATE_SPHERE_LIST_FOR_NOTE,0))</f>
        <v>Потери горячей воды в сетях (процентов)</v>
      </c>
      <c r="K74" s="1069">
        <f>INDEX(TEMPLATE_NOTE_POINT_FHD,B74,MATCH(TEMPLATE_SPHERE,TEMPLATE_SPHERE_LIST_FOR_NOTE,0))</f>
        <v>0</v>
      </c>
      <c r="L74" s="908" t="str">
        <f>IF(I74=0,"",I74)</f>
        <v>11</v>
      </c>
      <c r="M74" s="908" t="str">
        <f>IF(J74=0,"",J74)</f>
        <v>Потери горячей воды в сетях (процентов)</v>
      </c>
      <c r="N74" s="908" t="str">
        <f>IF(K74=0,"",K74)</f>
        <v/>
      </c>
      <c r="O74" s="1021"/>
      <c r="P74" s="1021"/>
      <c r="Q74" s="1021" t="s">
        <v>151</v>
      </c>
      <c r="R74" s="1021"/>
      <c r="S74" s="1021"/>
      <c r="T74" s="907"/>
      <c r="U74" s="907"/>
      <c r="V74" s="907" t="s">
        <v>2183</v>
      </c>
      <c r="W74" s="907"/>
      <c r="X74" s="907"/>
      <c r="Y74" s="1064"/>
      <c r="Z74" s="910"/>
      <c r="AA74" s="913"/>
      <c r="AB74" s="910"/>
      <c r="AC74" s="910"/>
      <c r="AD74" s="910"/>
    </row>
    <row customHeight="1" ht="18">
      <c r="A75" s="909"/>
      <c r="B75" s="963">
        <v>58</v>
      </c>
      <c r="C75" s="907"/>
      <c r="D75" s="1031"/>
      <c r="E75" s="907"/>
      <c r="F75" s="907" t="s">
        <v>2162</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94</v>
      </c>
      <c r="S75" s="1021"/>
      <c r="T75" s="907"/>
      <c r="U75" s="907"/>
      <c r="V75" s="907"/>
      <c r="W75" s="907" t="s">
        <v>2184</v>
      </c>
      <c r="X75" s="907"/>
      <c r="Y75" s="1064"/>
      <c r="Z75" s="910"/>
      <c r="AA75" s="913"/>
      <c r="AB75" s="910"/>
      <c r="AC75" s="910"/>
      <c r="AD75" s="910"/>
    </row>
    <row customHeight="1" ht="36">
      <c r="A76" s="909"/>
      <c r="B76" s="963">
        <v>59</v>
      </c>
      <c r="C76" s="907"/>
      <c r="D76" s="1031"/>
      <c r="E76" s="907"/>
      <c r="F76" s="907" t="s">
        <v>2164</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113</v>
      </c>
      <c r="S76" s="1021"/>
      <c r="T76" s="907"/>
      <c r="U76" s="907"/>
      <c r="V76" s="907"/>
      <c r="W76" s="907" t="s">
        <v>2185</v>
      </c>
      <c r="X76" s="907"/>
      <c r="Y76" s="1064"/>
      <c r="Z76" s="910"/>
      <c r="AA76" s="913"/>
      <c r="AB76" s="910"/>
      <c r="AC76" s="910"/>
      <c r="AD76" s="910"/>
    </row>
    <row customHeight="1" ht="18">
      <c r="A77" s="909"/>
      <c r="B77" s="963">
        <v>60</v>
      </c>
      <c r="C77" s="907"/>
      <c r="D77" s="1031"/>
      <c r="E77" s="907"/>
      <c r="F77" s="907" t="s">
        <v>2166</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149</v>
      </c>
      <c r="S77" s="1021"/>
      <c r="T77" s="907"/>
      <c r="U77" s="907"/>
      <c r="V77" s="907"/>
      <c r="W77" s="907" t="s">
        <v>2186</v>
      </c>
      <c r="X77" s="907"/>
      <c r="Y77" s="1064"/>
      <c r="Z77" s="910"/>
      <c r="AA77" s="913"/>
      <c r="AB77" s="910"/>
      <c r="AC77" s="910"/>
      <c r="AD77" s="910"/>
    </row>
    <row customHeight="1" ht="72">
      <c r="A78" s="909"/>
      <c r="B78" s="963">
        <v>61</v>
      </c>
      <c r="C78" s="907" t="s">
        <v>2162</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94</v>
      </c>
      <c r="P78" s="1021"/>
      <c r="Q78" s="1021"/>
      <c r="R78" s="1021"/>
      <c r="S78" s="1021"/>
      <c r="T78" s="907" t="s">
        <v>638</v>
      </c>
      <c r="U78" s="907"/>
      <c r="V78" s="907"/>
      <c r="W78" s="907"/>
      <c r="X78" s="907"/>
      <c r="Y78" s="1064"/>
      <c r="Z78" s="910" t="s">
        <v>2187</v>
      </c>
      <c r="AA78" s="913"/>
      <c r="AB78" s="910"/>
      <c r="AC78" s="910"/>
      <c r="AD78" s="910"/>
    </row>
    <row customHeight="1" ht="36">
      <c r="A79" s="909"/>
      <c r="B79" s="963">
        <v>62</v>
      </c>
      <c r="C79" s="907" t="s">
        <v>2164</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113</v>
      </c>
      <c r="P79" s="1021"/>
      <c r="Q79" s="1021"/>
      <c r="R79" s="1021"/>
      <c r="S79" s="1021"/>
      <c r="T79" s="907" t="s">
        <v>2188</v>
      </c>
      <c r="U79" s="907"/>
      <c r="V79" s="907"/>
      <c r="W79" s="907"/>
      <c r="X79" s="907"/>
      <c r="Y79" s="1064"/>
      <c r="Z79" s="910" t="s">
        <v>2189</v>
      </c>
      <c r="AA79" s="913"/>
      <c r="AB79" s="910"/>
      <c r="AC79" s="910"/>
      <c r="AD79" s="910"/>
    </row>
    <row customHeight="1" ht="45">
      <c r="A80" s="909"/>
      <c r="B80" s="963">
        <v>63</v>
      </c>
      <c r="C80" s="907" t="s">
        <v>2166</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149</v>
      </c>
      <c r="P80" s="1021"/>
      <c r="Q80" s="1021"/>
      <c r="R80" s="1021"/>
      <c r="S80" s="1021"/>
      <c r="T80" s="907" t="s">
        <v>2190</v>
      </c>
      <c r="U80" s="907"/>
      <c r="V80" s="907"/>
      <c r="W80" s="907"/>
      <c r="X80" s="907"/>
      <c r="Y80" s="1064"/>
      <c r="Z80" s="910" t="s">
        <v>2191</v>
      </c>
      <c r="AA80" s="913"/>
      <c r="AB80" s="910"/>
      <c r="AC80" s="910"/>
      <c r="AD80" s="910"/>
    </row>
    <row customHeight="1" ht="36">
      <c r="A81" s="909"/>
      <c r="B81" s="963">
        <v>64</v>
      </c>
      <c r="C81" s="907" t="s">
        <v>2168</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2074</v>
      </c>
      <c r="P81" s="1021"/>
      <c r="Q81" s="1021"/>
      <c r="R81" s="1021"/>
      <c r="S81" s="1021"/>
      <c r="T81" s="907" t="s">
        <v>2192</v>
      </c>
      <c r="U81" s="907"/>
      <c r="V81" s="907"/>
      <c r="W81" s="907"/>
      <c r="X81" s="907"/>
      <c r="Y81" s="1064"/>
      <c r="Z81" s="910" t="s">
        <v>2193</v>
      </c>
      <c r="AA81" s="913"/>
      <c r="AB81" s="910"/>
      <c r="AC81" s="910"/>
      <c r="AD81" s="910"/>
    </row>
    <row customHeight="1" ht="90">
      <c r="A82" s="909"/>
      <c r="B82" s="963">
        <v>65</v>
      </c>
      <c r="C82" s="907" t="s">
        <v>2177</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150</v>
      </c>
      <c r="P82" s="1021"/>
      <c r="Q82" s="1021"/>
      <c r="R82" s="1021"/>
      <c r="S82" s="1021"/>
      <c r="T82" s="907" t="s">
        <v>2194</v>
      </c>
      <c r="U82" s="907"/>
      <c r="V82" s="907"/>
      <c r="W82" s="907"/>
      <c r="X82" s="907"/>
      <c r="Y82" s="1064"/>
      <c r="Z82" s="910" t="s">
        <v>2195</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2083</v>
      </c>
      <c r="P83" s="1021"/>
      <c r="Q83" s="1021"/>
      <c r="R83" s="1021"/>
      <c r="S83" s="1021"/>
      <c r="T83" s="907" t="s">
        <v>2196</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2197</v>
      </c>
      <c r="P84" s="1021"/>
      <c r="Q84" s="1021"/>
      <c r="R84" s="1021"/>
      <c r="S84" s="1021"/>
      <c r="T84" s="907" t="s">
        <v>2198</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2087</v>
      </c>
      <c r="P85" s="1021"/>
      <c r="Q85" s="1021"/>
      <c r="R85" s="1021"/>
      <c r="S85" s="1021"/>
      <c r="T85" s="907" t="s">
        <v>2199</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2200</v>
      </c>
      <c r="P86" s="1021"/>
      <c r="Q86" s="1021"/>
      <c r="R86" s="1021"/>
      <c r="S86" s="1021"/>
      <c r="T86" s="907" t="s">
        <v>2201</v>
      </c>
      <c r="U86" s="907"/>
      <c r="V86" s="907"/>
      <c r="W86" s="907"/>
      <c r="X86" s="907"/>
      <c r="Y86" s="1064"/>
      <c r="Z86" s="910"/>
      <c r="AA86" s="913"/>
      <c r="AB86" s="910"/>
      <c r="AC86" s="910"/>
      <c r="AD86" s="910"/>
    </row>
    <row customHeight="1" ht="36">
      <c r="A87" s="909"/>
      <c r="B87" s="963">
        <v>70</v>
      </c>
      <c r="C87" s="907" t="s">
        <v>2202</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151</v>
      </c>
      <c r="P87" s="1021"/>
      <c r="Q87" s="1021"/>
      <c r="R87" s="1021"/>
      <c r="S87" s="1021"/>
      <c r="T87" s="907" t="s">
        <v>2203</v>
      </c>
      <c r="U87" s="907"/>
      <c r="V87" s="907"/>
      <c r="W87" s="907"/>
      <c r="X87" s="907"/>
      <c r="Y87" s="1064"/>
      <c r="Z87" s="910"/>
      <c r="AA87" s="913"/>
      <c r="AB87" s="910"/>
      <c r="AC87" s="910"/>
      <c r="AD87" s="910"/>
    </row>
    <row customHeight="1" ht="18">
      <c r="A88" s="909"/>
      <c r="B88" s="963">
        <v>71</v>
      </c>
      <c r="C88" s="907" t="s">
        <v>2204</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152</v>
      </c>
      <c r="P88" s="1021"/>
      <c r="Q88" s="1021"/>
      <c r="R88" s="1021"/>
      <c r="S88" s="1021"/>
      <c r="T88" s="907" t="s">
        <v>670</v>
      </c>
      <c r="U88" s="907"/>
      <c r="V88" s="907"/>
      <c r="W88" s="907"/>
      <c r="X88" s="907"/>
      <c r="Y88" s="1064"/>
      <c r="Z88" s="910"/>
      <c r="AA88" s="913"/>
      <c r="AB88" s="910"/>
      <c r="AC88" s="910"/>
      <c r="AD88" s="910"/>
    </row>
    <row customHeight="1" ht="18">
      <c r="A89" s="909"/>
      <c r="B89" s="963">
        <v>72</v>
      </c>
      <c r="C89" s="907" t="s">
        <v>2205</v>
      </c>
      <c r="D89" s="1031" t="s">
        <v>2202</v>
      </c>
      <c r="E89" s="907" t="s">
        <v>2202</v>
      </c>
      <c r="F89" s="907" t="s">
        <v>2168</v>
      </c>
      <c r="G89" s="907"/>
      <c r="H89" s="955"/>
      <c r="I89" s="1069" t="str">
        <f>INDEX(TEMPLATE_NUMBER_POINT_FHD,B89,MATCH(TEMPLATE_SPHERE,TEMPLATE_SPHERE_LIST_FOR_NOTE,0))</f>
        <v>12</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12</v>
      </c>
      <c r="M89" s="908" t="str">
        <f>IF(J89=0,"",J89)</f>
        <v>Среднесписочная численность основного производственного персонала</v>
      </c>
      <c r="N89" s="908" t="str">
        <f>IF(K89=0,"",K89)</f>
        <v/>
      </c>
      <c r="O89" s="1021" t="s">
        <v>153</v>
      </c>
      <c r="P89" s="1021" t="s">
        <v>152</v>
      </c>
      <c r="Q89" s="1021" t="s">
        <v>152</v>
      </c>
      <c r="R89" s="1021" t="s">
        <v>150</v>
      </c>
      <c r="S89" s="1021"/>
      <c r="T89" s="907" t="s">
        <v>678</v>
      </c>
      <c r="U89" s="907" t="s">
        <v>678</v>
      </c>
      <c r="V89" s="907" t="s">
        <v>678</v>
      </c>
      <c r="W89" s="907" t="s">
        <v>678</v>
      </c>
      <c r="X89" s="907"/>
      <c r="Y89" s="1064"/>
      <c r="Z89" s="910"/>
      <c r="AA89" s="913"/>
      <c r="AB89" s="910"/>
      <c r="AC89" s="910"/>
      <c r="AD89" s="910"/>
    </row>
    <row customHeight="1" ht="27">
      <c r="A90" s="909"/>
      <c r="B90" s="963">
        <v>73</v>
      </c>
      <c r="C90" s="907" t="s">
        <v>2206</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154</v>
      </c>
      <c r="P90" s="1021"/>
      <c r="Q90" s="1021"/>
      <c r="R90" s="1021"/>
      <c r="S90" s="1021"/>
      <c r="T90" s="907" t="s">
        <v>680</v>
      </c>
      <c r="U90" s="907"/>
      <c r="V90" s="907"/>
      <c r="W90" s="907"/>
      <c r="X90" s="907"/>
      <c r="Y90" s="1064"/>
      <c r="Z90" s="910"/>
      <c r="AA90" s="913"/>
      <c r="AB90" s="910"/>
      <c r="AC90" s="910"/>
      <c r="AD90" s="910"/>
    </row>
    <row customHeight="1" ht="18">
      <c r="A91" s="909"/>
      <c r="B91" s="963">
        <v>74</v>
      </c>
      <c r="C91" s="907"/>
      <c r="D91" s="1031" t="s">
        <v>2204</v>
      </c>
      <c r="E91" s="907" t="s">
        <v>2204</v>
      </c>
      <c r="F91" s="907"/>
      <c r="G91" s="907"/>
      <c r="H91" s="955"/>
      <c r="I91" s="1069" t="str">
        <f>INDEX(TEMPLATE_NUMBER_POINT_FHD,B91,MATCH(TEMPLATE_SPHERE,TEMPLATE_SPHERE_LIST_FOR_NOTE,0))</f>
        <v>13</v>
      </c>
      <c r="J91" s="1069" t="str">
        <f>INDEX(TEMPLATE_DATA_POINT_FHD,B91,MATCH(TEMPLATE_SPHERE,TEMPLATE_SPHERE_LIST_FOR_NOTE,0))</f>
        <v>Удельный расход электрической энергии на подачу воды в сеть</v>
      </c>
      <c r="K91" s="1069">
        <f>INDEX(TEMPLATE_NOTE_POINT_FHD,B91,MATCH(TEMPLATE_SPHERE,TEMPLATE_SPHERE_LIST_FOR_NOTE,0))</f>
        <v>0</v>
      </c>
      <c r="L91" s="908" t="str">
        <f>IF(I91=0,"",I91)</f>
        <v>13</v>
      </c>
      <c r="M91" s="908" t="str">
        <f>IF(J91=0,"",J91)</f>
        <v>Удельный расход электрической энергии на подачу воды в сеть</v>
      </c>
      <c r="N91" s="908" t="str">
        <f>IF(K91=0,"",K91)</f>
        <v/>
      </c>
      <c r="O91" s="1021"/>
      <c r="P91" s="1021" t="s">
        <v>153</v>
      </c>
      <c r="Q91" s="1021" t="s">
        <v>153</v>
      </c>
      <c r="R91" s="1021"/>
      <c r="S91" s="1021"/>
      <c r="T91" s="907"/>
      <c r="U91" s="907" t="s">
        <v>2207</v>
      </c>
      <c r="V91" s="907" t="s">
        <v>2207</v>
      </c>
      <c r="W91" s="907"/>
      <c r="X91" s="907"/>
      <c r="Y91" s="1064"/>
      <c r="Z91" s="910"/>
      <c r="AA91" s="913"/>
      <c r="AB91" s="910"/>
      <c r="AC91" s="910"/>
      <c r="AD91" s="910"/>
    </row>
    <row customHeight="1" ht="27">
      <c r="A92" s="909"/>
      <c r="B92" s="963">
        <v>75</v>
      </c>
      <c r="C92" s="907"/>
      <c r="D92" s="1031" t="s">
        <v>2205</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154</v>
      </c>
      <c r="Q92" s="1021"/>
      <c r="R92" s="1021"/>
      <c r="S92" s="1021"/>
      <c r="T92" s="907"/>
      <c r="U92" s="907" t="s">
        <v>2208</v>
      </c>
      <c r="V92" s="907"/>
      <c r="W92" s="907"/>
      <c r="X92" s="907"/>
      <c r="Y92" s="1064"/>
      <c r="Z92" s="910"/>
      <c r="AA92" s="913" t="s">
        <v>2209</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2115</v>
      </c>
      <c r="Q93" s="1021"/>
      <c r="R93" s="1021"/>
      <c r="S93" s="1021"/>
      <c r="T93" s="907"/>
      <c r="U93" s="907" t="s">
        <v>2210</v>
      </c>
      <c r="V93" s="907"/>
      <c r="W93" s="907"/>
      <c r="X93" s="907"/>
      <c r="Y93" s="1064"/>
      <c r="Z93" s="910"/>
      <c r="AA93" s="913" t="s">
        <v>2211</v>
      </c>
      <c r="AB93" s="910"/>
      <c r="AC93" s="910"/>
      <c r="AD93" s="910"/>
    </row>
    <row customHeight="1" ht="45">
      <c r="A94" s="909"/>
      <c r="B94" s="963">
        <v>77</v>
      </c>
      <c r="C94" s="907"/>
      <c r="D94" s="1031" t="s">
        <v>2206</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1472</v>
      </c>
      <c r="Q94" s="1021"/>
      <c r="R94" s="1021"/>
      <c r="S94" s="1021"/>
      <c r="T94" s="907"/>
      <c r="U94" s="907" t="s">
        <v>2212</v>
      </c>
      <c r="V94" s="907"/>
      <c r="W94" s="907"/>
      <c r="X94" s="907"/>
      <c r="Y94" s="1064"/>
      <c r="Z94" s="910"/>
      <c r="AA94" s="913" t="s">
        <v>2213</v>
      </c>
      <c r="AB94" s="910"/>
      <c r="AC94" s="910"/>
      <c r="AD94" s="910"/>
    </row>
    <row customHeight="1" ht="99">
      <c r="A95" s="909"/>
      <c r="B95" s="963">
        <v>78</v>
      </c>
      <c r="C95" s="907" t="s">
        <v>2214</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1472</v>
      </c>
      <c r="P95" s="1021"/>
      <c r="Q95" s="1021"/>
      <c r="R95" s="1021"/>
      <c r="S95" s="1021"/>
      <c r="T95" s="907" t="s">
        <v>2215</v>
      </c>
      <c r="U95" s="907"/>
      <c r="V95" s="907"/>
      <c r="W95" s="907"/>
      <c r="X95" s="907"/>
      <c r="Y95" s="1064"/>
      <c r="Z95" s="910"/>
      <c r="AA95" s="913"/>
      <c r="AB95" s="910"/>
      <c r="AC95" s="910"/>
      <c r="AD95" s="910"/>
    </row>
    <row customHeight="1" ht="99">
      <c r="A96" s="909"/>
      <c r="B96" s="963">
        <v>79</v>
      </c>
      <c r="C96" s="907" t="s">
        <v>1158</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1478</v>
      </c>
      <c r="P96" s="1021"/>
      <c r="Q96" s="1021"/>
      <c r="R96" s="1021"/>
      <c r="S96" s="1021"/>
      <c r="T96" s="907" t="s">
        <v>2216</v>
      </c>
      <c r="U96" s="907"/>
      <c r="V96" s="907"/>
      <c r="W96" s="907"/>
      <c r="X96" s="907"/>
      <c r="Y96" s="1064"/>
      <c r="Z96" s="910" t="s">
        <v>2217</v>
      </c>
      <c r="AA96" s="913"/>
      <c r="AB96" s="910"/>
      <c r="AC96" s="910"/>
      <c r="AD96" s="910"/>
    </row>
    <row customHeight="1" ht="63">
      <c r="A97" s="909"/>
      <c r="B97" s="963">
        <v>80</v>
      </c>
      <c r="C97" s="907" t="s">
        <v>2218</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1490</v>
      </c>
      <c r="P97" s="1021"/>
      <c r="Q97" s="1021"/>
      <c r="R97" s="1021"/>
      <c r="S97" s="1021"/>
      <c r="T97" s="907" t="s">
        <v>2219</v>
      </c>
      <c r="U97" s="907"/>
      <c r="V97" s="907"/>
      <c r="W97" s="907"/>
      <c r="X97" s="907"/>
      <c r="Y97" s="1064"/>
      <c r="Z97" s="910" t="s">
        <v>2220</v>
      </c>
      <c r="AA97" s="913"/>
      <c r="AB97" s="910"/>
      <c r="AC97" s="910"/>
      <c r="AD97" s="910"/>
    </row>
    <row customHeight="1" ht="63">
      <c r="A98" s="909"/>
      <c r="B98" s="963">
        <v>81</v>
      </c>
      <c r="C98" s="907" t="s">
        <v>2221</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1504</v>
      </c>
      <c r="P98" s="1021"/>
      <c r="Q98" s="1021"/>
      <c r="R98" s="1021"/>
      <c r="S98" s="1021"/>
      <c r="T98" s="907" t="s">
        <v>2222</v>
      </c>
      <c r="U98" s="907"/>
      <c r="V98" s="907"/>
      <c r="W98" s="907"/>
      <c r="X98" s="907"/>
      <c r="Y98" s="1064"/>
      <c r="Z98" s="910" t="s">
        <v>2220</v>
      </c>
      <c r="AA98" s="913"/>
      <c r="AB98" s="910"/>
      <c r="AC98" s="910"/>
      <c r="AD98" s="910"/>
    </row>
    <row customHeight="1" ht="90">
      <c r="A99" s="909"/>
      <c r="B99" s="963">
        <v>82</v>
      </c>
      <c r="C99" s="907" t="s">
        <v>2223</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1516</v>
      </c>
      <c r="P99" s="1021"/>
      <c r="Q99" s="1021"/>
      <c r="R99" s="1021"/>
      <c r="S99" s="1021"/>
      <c r="T99" s="907" t="s">
        <v>2224</v>
      </c>
      <c r="U99" s="907"/>
      <c r="V99" s="907"/>
      <c r="W99" s="907"/>
      <c r="X99" s="907"/>
      <c r="Y99" s="1064"/>
      <c r="Z99" s="910" t="s">
        <v>635</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2225</v>
      </c>
      <c r="P100" s="1021"/>
      <c r="Q100" s="1021"/>
      <c r="R100" s="1021"/>
      <c r="S100" s="1021"/>
      <c r="T100" s="907" t="s">
        <v>2226</v>
      </c>
      <c r="U100" s="907"/>
      <c r="V100" s="907"/>
      <c r="W100" s="907"/>
      <c r="X100" s="907"/>
      <c r="Y100" s="1064"/>
      <c r="Z100" s="910" t="s">
        <v>635</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2227</v>
      </c>
      <c r="P101" s="1021"/>
      <c r="Q101" s="1021"/>
      <c r="R101" s="1021"/>
      <c r="S101" s="1021"/>
      <c r="T101" s="907" t="s">
        <v>2228</v>
      </c>
      <c r="U101" s="907"/>
      <c r="V101" s="907"/>
      <c r="W101" s="907"/>
      <c r="X101" s="907"/>
      <c r="Y101" s="1064"/>
      <c r="Z101" s="910" t="s">
        <v>635</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1668</v>
      </c>
      <c r="B148" s="909"/>
      <c r="C148" s="907" t="s">
        <v>2229</v>
      </c>
      <c r="D148" s="907" t="s">
        <v>1571</v>
      </c>
      <c r="E148" s="907" t="s">
        <v>1670</v>
      </c>
      <c r="F148" s="907" t="s">
        <v>2230</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2"/>
      <c r="O148" s="907"/>
      <c r="P148" s="908"/>
      <c r="Q148" s="908"/>
      <c r="R148" s="908"/>
      <c r="S148" s="907"/>
      <c r="T148" s="907" t="s">
        <v>2231</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8"/>
      <c r="W148" s="908"/>
      <c r="X148" s="907" t="s">
        <v>2232</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1672</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1675</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1680</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2F3B6-3AFB-7B58-768D-0.E0B75C9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16" width="10.57421875" hidden="1"/>
    <col min="2" max="2" style="5416" width="11.00390625" hidden="1" customWidth="1"/>
    <col min="3" max="3" style="5416" width="10.57421875" hidden="1"/>
    <col min="4" max="4" style="5416" width="11.8515625" hidden="1" customWidth="1"/>
    <col min="5" max="5" style="5416" width="12.28125" hidden="1" customWidth="1"/>
    <col min="6" max="8" style="4339" width="12.28125" hidden="1" customWidth="1"/>
    <col min="9" max="9" style="6151" width="3.00390625" customWidth="1"/>
    <col min="10" max="11" style="5437" width="3.00390625" customWidth="1"/>
    <col min="12" max="12" style="6125" width="12.00390625" customWidth="1"/>
    <col min="13" max="13" style="5468" width="31.00390625" customWidth="1"/>
    <col min="14" max="14" style="5468" width="1.00390625" customWidth="1"/>
    <col min="15" max="18" style="5468" width="24.00390625" customWidth="1"/>
    <col min="19" max="19" style="5468" width="11.00390625" customWidth="1"/>
    <col min="20" max="20" style="5468" width="3.7109375" customWidth="1"/>
    <col min="21" max="21" style="5468" width="11.00390625" customWidth="1"/>
    <col min="22" max="22" style="5468" width="8.57421875" customWidth="1"/>
    <col min="23" max="23" style="5468" width="4.00390625" customWidth="1"/>
    <col min="24" max="24" style="5468" width="115.00390625" customWidth="1"/>
    <col min="25" max="29" style="4976" width="10.00390625" customWidth="1"/>
    <col min="30" max="30" style="546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2233</v>
      </c>
      <c r="M5" s="2667"/>
      <c r="N5" s="2667"/>
      <c r="O5" s="2667"/>
      <c r="P5" s="2667"/>
      <c r="Q5" s="2667"/>
      <c r="R5" s="2667"/>
      <c r="S5" s="2667"/>
      <c r="T5" s="2667"/>
      <c r="U5" s="2667"/>
      <c r="V5" s="1307"/>
      <c r="AD5" s="1219">
        <v>64</v>
      </c>
    </row>
    <row customHeight="1" ht="14.699999999999998">
      <c r="J6" s="440"/>
      <c r="K6" s="440"/>
      <c r="L6" s="2668" t="str">
        <f>IF(org=0,"Не определено",org)</f>
        <v>Нарьян-Марское МУ ПОКиТС</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601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УГРЦТ НАО</v>
      </c>
      <c r="P8" s="2315"/>
      <c r="Q8" s="2315"/>
      <c r="R8" s="2315"/>
      <c r="S8" s="2315"/>
      <c r="T8" s="2315"/>
      <c r="U8" s="2315"/>
      <c r="V8" s="390"/>
      <c r="W8" s="390"/>
      <c r="X8" s="344"/>
      <c r="Y8" s="432"/>
      <c r="Z8" s="432"/>
      <c r="AA8" s="432"/>
      <c r="AB8" s="432"/>
      <c r="AC8" s="432"/>
      <c r="AD8" s="482">
        <v>46</v>
      </c>
    </row>
    <row s="6011" customFormat="1" customHeight="1" ht="24">
      <c r="A9" s="1432"/>
      <c r="B9" s="1432"/>
      <c r="C9" s="1432"/>
      <c r="D9" s="1432"/>
      <c r="E9" s="1432"/>
      <c r="F9" s="1432"/>
      <c r="G9" s="1432"/>
      <c r="H9" s="1432"/>
      <c r="L9" s="1340"/>
      <c r="M9" s="359" t="s">
        <v>425</v>
      </c>
      <c r="N9" s="368"/>
      <c r="O9" s="2315" t="str">
        <f>IF(TITLE_DATE_CHANGE_PERIOD="",IF(TITLE_DATE_PR="","",TITLE_DATE_PR),TITLE_DATE_CHANGE_PERIOD)</f>
        <v>46008.48059027778</v>
      </c>
      <c r="P9" s="2315"/>
      <c r="Q9" s="2315"/>
      <c r="R9" s="2315"/>
      <c r="S9" s="2315"/>
      <c r="T9" s="2315"/>
      <c r="U9" s="2315"/>
      <c r="V9" s="390"/>
      <c r="W9" s="390"/>
      <c r="X9" s="344"/>
      <c r="Y9" s="432"/>
      <c r="Z9" s="432"/>
      <c r="AA9" s="432"/>
      <c r="AB9" s="432"/>
      <c r="AC9" s="432"/>
      <c r="AD9" s="482">
        <v>23</v>
      </c>
    </row>
    <row s="6011" customFormat="1" customHeight="1" ht="24">
      <c r="A10" s="1432"/>
      <c r="B10" s="1432"/>
      <c r="C10" s="1432"/>
      <c r="D10" s="1432"/>
      <c r="E10" s="1432"/>
      <c r="F10" s="1432"/>
      <c r="G10" s="1432"/>
      <c r="H10" s="1432"/>
      <c r="L10" s="1314"/>
      <c r="M10" s="359" t="s">
        <v>426</v>
      </c>
      <c r="N10" s="368"/>
      <c r="O10" s="2315" t="str">
        <f>IF(TITLE_NUMBER_PR_CHANGE="",IF(TITLE_NUMBER_PR="","",TITLE_NUMBER_PR),TITLE_NUMBER_PR_CHANGE)</f>
        <v>58</v>
      </c>
      <c r="P10" s="2315"/>
      <c r="Q10" s="2315"/>
      <c r="R10" s="2315"/>
      <c r="S10" s="2315"/>
      <c r="T10" s="2315"/>
      <c r="U10" s="2315"/>
      <c r="V10" s="390"/>
      <c r="W10" s="390"/>
      <c r="X10" s="344"/>
      <c r="Y10" s="432"/>
      <c r="Z10" s="432"/>
      <c r="AA10" s="432"/>
      <c r="AB10" s="432"/>
      <c r="AC10" s="432"/>
      <c r="AD10" s="482">
        <v>23</v>
      </c>
    </row>
    <row s="6011" customFormat="1" customHeight="1" ht="24">
      <c r="A11" s="1432"/>
      <c r="B11" s="1432"/>
      <c r="C11" s="1432"/>
      <c r="D11" s="1432"/>
      <c r="E11" s="1432"/>
      <c r="F11" s="1432"/>
      <c r="G11" s="1432"/>
      <c r="H11" s="1432"/>
      <c r="L11" s="1314"/>
      <c r="M11" s="359" t="s">
        <v>44</v>
      </c>
      <c r="N11" s="368"/>
      <c r="O11" s="2315" t="str">
        <f>IF(TITLE_IST_PUB_CHANGE="",IF(TITLE_IST_PUB="","",TITLE_IST_PUB),TITLE_IST_PUB_CHANGE)</f>
        <v>http://pravo.gov.ru</v>
      </c>
      <c r="P11" s="2315"/>
      <c r="Q11" s="2315"/>
      <c r="R11" s="2315"/>
      <c r="S11" s="2315"/>
      <c r="T11" s="2315"/>
      <c r="U11" s="2315"/>
      <c r="V11" s="390"/>
      <c r="W11" s="390"/>
      <c r="X11" s="344"/>
      <c r="Y11" s="432"/>
      <c r="Z11" s="432"/>
      <c r="AA11" s="432"/>
      <c r="AB11" s="432"/>
      <c r="AC11" s="432"/>
      <c r="AD11" s="482">
        <v>23</v>
      </c>
    </row>
    <row s="601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429</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304</v>
      </c>
      <c r="M14" s="2191"/>
      <c r="N14" s="2191"/>
      <c r="O14" s="2191"/>
      <c r="P14" s="2191"/>
      <c r="Q14" s="2191"/>
      <c r="R14" s="2191"/>
      <c r="S14" s="2191"/>
      <c r="T14" s="2191"/>
      <c r="U14" s="2191"/>
      <c r="V14" s="2191"/>
      <c r="W14" s="2191"/>
      <c r="X14" s="2191" t="s">
        <v>305</v>
      </c>
      <c r="AD14" s="1219">
        <v>14</v>
      </c>
    </row>
    <row customHeight="1" ht="14.699999999999998">
      <c r="J15" s="440"/>
      <c r="K15" s="440"/>
      <c r="L15" s="2337" t="s">
        <v>89</v>
      </c>
      <c r="M15" s="2273" t="s">
        <v>430</v>
      </c>
      <c r="N15" s="365"/>
      <c r="O15" s="2338" t="s">
        <v>2234</v>
      </c>
      <c r="P15" s="2339"/>
      <c r="Q15" s="2339"/>
      <c r="R15" s="2339"/>
      <c r="S15" s="2339"/>
      <c r="T15" s="2339"/>
      <c r="U15" s="2340"/>
      <c r="V15" s="2341" t="s">
        <v>432</v>
      </c>
      <c r="W15" s="2344" t="s">
        <v>1155</v>
      </c>
      <c r="X15" s="2191"/>
      <c r="AD15" s="1219">
        <v>14</v>
      </c>
    </row>
    <row customHeight="1" ht="35.699999999999996">
      <c r="J16" s="440"/>
      <c r="K16" s="440"/>
      <c r="L16" s="2337"/>
      <c r="M16" s="2273"/>
      <c r="N16" s="1095"/>
      <c r="O16" s="2324" t="s">
        <v>435</v>
      </c>
      <c r="P16" s="2324" t="s">
        <v>436</v>
      </c>
      <c r="Q16" s="2326" t="s">
        <v>437</v>
      </c>
      <c r="R16" s="2327"/>
      <c r="S16" s="2326" t="s">
        <v>450</v>
      </c>
      <c r="T16" s="2333"/>
      <c r="U16" s="2327"/>
      <c r="V16" s="2342"/>
      <c r="W16" s="2345"/>
      <c r="X16" s="2191"/>
      <c r="AD16" s="1219">
        <v>34</v>
      </c>
    </row>
    <row customHeight="1" ht="35.699999999999996">
      <c r="A17" s="1434" t="s">
        <v>135</v>
      </c>
      <c r="B17" s="1434" t="s">
        <v>136</v>
      </c>
      <c r="C17" s="1434" t="s">
        <v>137</v>
      </c>
      <c r="D17" s="1434" t="s">
        <v>138</v>
      </c>
      <c r="E17" s="1434"/>
      <c r="J17" s="440"/>
      <c r="K17" s="440"/>
      <c r="L17" s="2337"/>
      <c r="M17" s="2273"/>
      <c r="N17" s="366"/>
      <c r="O17" s="2325"/>
      <c r="P17" s="2325"/>
      <c r="Q17" s="1286" t="s">
        <v>446</v>
      </c>
      <c r="R17" s="1286" t="s">
        <v>447</v>
      </c>
      <c r="S17" s="1356" t="s">
        <v>448</v>
      </c>
      <c r="T17" s="2334" t="s">
        <v>449</v>
      </c>
      <c r="U17" s="2335"/>
      <c r="V17" s="2343"/>
      <c r="W17" s="2346"/>
      <c r="X17" s="2191"/>
      <c r="AD17" s="1219">
        <v>34</v>
      </c>
    </row>
    <row s="3710" customFormat="1" customHeight="1" ht="11.549999999999999">
      <c r="A18" s="1434"/>
      <c r="B18" s="1434"/>
      <c r="C18" s="1434"/>
      <c r="D18" s="1434"/>
      <c r="E18" s="1434"/>
      <c r="F18" s="1426"/>
      <c r="G18" s="1426"/>
      <c r="H18" s="1426"/>
      <c r="I18" s="1310"/>
      <c r="J18" s="1311"/>
      <c r="K18" s="1318">
        <v>1</v>
      </c>
      <c r="L18" s="1341" t="s">
        <v>110</v>
      </c>
      <c r="M18" s="1319" t="s">
        <v>111</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169</v>
      </c>
      <c r="B19" s="1427" t="s">
        <v>170</v>
      </c>
      <c r="C19" s="1427" t="s">
        <v>171</v>
      </c>
      <c r="D19" s="1427" t="s">
        <v>172</v>
      </c>
      <c r="E19" s="1427"/>
      <c r="F19" s="1429"/>
      <c r="G19" s="1429"/>
      <c r="H19" s="1429"/>
      <c r="I19" s="425"/>
      <c r="J19" s="424"/>
      <c r="K19" s="419"/>
      <c r="L19" s="1357">
        <f>INDEX(PT_DIFFERENTIATION_NUM_NTAR,MATCH(A19,PT_DIFFERENTIATION_NTAR_ID,0))</f>
        <v>0</v>
      </c>
      <c r="M19" s="362" t="s">
        <v>124</v>
      </c>
      <c r="N19" s="364"/>
      <c r="O19" s="2670" t="str">
        <f>INDEX(PT_DIFFERENTIATION_NTAR,MATCH(A19,PT_DIFFERENTIATION_NTAR_ID,0))</f>
        <v/>
      </c>
      <c r="P19" s="2670"/>
      <c r="Q19" s="2670"/>
      <c r="R19" s="2670"/>
      <c r="S19" s="2670"/>
      <c r="T19" s="2670"/>
      <c r="U19" s="2670"/>
      <c r="V19" s="2670"/>
      <c r="W19" s="2670"/>
      <c r="X19" s="1322" t="s">
        <v>400</v>
      </c>
      <c r="Z19" s="564"/>
      <c r="AA19" s="564" t="str">
        <f>IF(M19="","",M19)</f>
        <v>Наименование тарифа</v>
      </c>
      <c r="AB19" s="564"/>
      <c r="AC19" s="564"/>
      <c r="AD19" s="1219">
        <v>20</v>
      </c>
    </row>
    <row customHeight="1" ht="21">
      <c r="A20" s="1427" t="s">
        <v>169</v>
      </c>
      <c r="B20" s="1427" t="s">
        <v>170</v>
      </c>
      <c r="C20" s="1427" t="s">
        <v>171</v>
      </c>
      <c r="D20" s="1427" t="s">
        <v>172</v>
      </c>
      <c r="E20" s="1427"/>
      <c r="F20" s="1429"/>
      <c r="G20" s="1429"/>
      <c r="H20" s="1429"/>
      <c r="I20" s="1354"/>
      <c r="J20" s="416"/>
      <c r="K20" s="417"/>
      <c r="L20" s="1357" t="str">
        <f>INDEX(PT_DIFFERENTIATION_NUM_TER,MATCH(B19,PT_DIFFERENTIATION_TER_ID,0))</f>
        <v>.</v>
      </c>
      <c r="M20" s="372" t="s">
        <v>401</v>
      </c>
      <c r="N20" s="364"/>
      <c r="O20" s="2670" t="str">
        <f>INDEX(PT_DIFFERENTIATION_TER,MATCH(B19,PT_DIFFERENTIATION_TER_ID,0))</f>
        <v/>
      </c>
      <c r="P20" s="2670"/>
      <c r="Q20" s="2670"/>
      <c r="R20" s="2670"/>
      <c r="S20" s="2670"/>
      <c r="T20" s="2670"/>
      <c r="U20" s="2670"/>
      <c r="V20" s="2670"/>
      <c r="W20" s="2670"/>
      <c r="X20" s="1322" t="s">
        <v>402</v>
      </c>
      <c r="Z20" s="564"/>
      <c r="AA20" s="564" t="str">
        <f>IF(M20="","",M20)</f>
        <v>Территория действия тарифа</v>
      </c>
      <c r="AB20" s="564"/>
      <c r="AC20" s="564"/>
      <c r="AD20" s="1219">
        <v>20</v>
      </c>
    </row>
    <row customHeight="1" ht="24">
      <c r="A21" s="1427" t="s">
        <v>169</v>
      </c>
      <c r="B21" s="1427" t="s">
        <v>170</v>
      </c>
      <c r="C21" s="1427" t="s">
        <v>171</v>
      </c>
      <c r="D21" s="1427" t="s">
        <v>172</v>
      </c>
      <c r="E21" s="1427"/>
      <c r="F21" s="1429"/>
      <c r="G21" s="1429"/>
      <c r="H21" s="1429"/>
      <c r="I21" s="418"/>
      <c r="J21" s="416"/>
      <c r="K21" s="417"/>
      <c r="L21" s="1357" t="str">
        <f>INDEX(PT_DIFFERENTIATION_NUM_CS,MATCH(C19,PT_DIFFERENTIATION_CS_ID,0))</f>
        <v>..</v>
      </c>
      <c r="M21" s="373" t="s">
        <v>403</v>
      </c>
      <c r="N21" s="364"/>
      <c r="O21" s="2670" t="str">
        <f>INDEX(PT_DIFFERENTIATION_CS,MATCH(C19,PT_DIFFERENTIATION_CS_ID,0))</f>
        <v/>
      </c>
      <c r="P21" s="2670"/>
      <c r="Q21" s="2670"/>
      <c r="R21" s="2670"/>
      <c r="S21" s="2670"/>
      <c r="T21" s="2670"/>
      <c r="U21" s="2670"/>
      <c r="V21" s="2670"/>
      <c r="W21" s="2670"/>
      <c r="X21" s="1322" t="s">
        <v>404</v>
      </c>
      <c r="Z21" s="564"/>
      <c r="AA21" s="564" t="str">
        <f>IF(M21="","",M21)</f>
        <v>Наименование системы теплоснабжения </v>
      </c>
      <c r="AB21" s="564"/>
      <c r="AC21" s="564"/>
      <c r="AD21" s="1219">
        <v>23</v>
      </c>
    </row>
    <row customHeight="1" ht="21">
      <c r="A22" s="1427" t="s">
        <v>169</v>
      </c>
      <c r="B22" s="1427" t="s">
        <v>170</v>
      </c>
      <c r="C22" s="1427" t="s">
        <v>171</v>
      </c>
      <c r="D22" s="1427" t="s">
        <v>172</v>
      </c>
      <c r="E22" s="1427"/>
      <c r="F22" s="1429"/>
      <c r="G22" s="1429"/>
      <c r="H22" s="1429"/>
      <c r="I22" s="418"/>
      <c r="J22" s="416"/>
      <c r="K22" s="417"/>
      <c r="L22" s="1357" t="str">
        <f>INDEX(PT_DIFFERENTIATION_NUM_IST_TE,MATCH(D19,PT_DIFFERENTIATION_IST_TE_ID,0))</f>
        <v>...</v>
      </c>
      <c r="M22" s="374" t="s">
        <v>405</v>
      </c>
      <c r="N22" s="364"/>
      <c r="O22" s="2670" t="str">
        <f>INDEX(PT_DIFFERENTIATION_IST_TE,MATCH(D19,PT_DIFFERENTIATION_IST_TE_ID,0))</f>
        <v/>
      </c>
      <c r="P22" s="2670"/>
      <c r="Q22" s="2670"/>
      <c r="R22" s="2670"/>
      <c r="S22" s="2670"/>
      <c r="T22" s="2670"/>
      <c r="U22" s="2670"/>
      <c r="V22" s="2670"/>
      <c r="W22" s="2670"/>
      <c r="X22" s="1322" t="s">
        <v>406</v>
      </c>
      <c r="Z22" s="564"/>
      <c r="AA22" s="564" t="str">
        <f>IF(M22="","",M22)</f>
        <v>Источник тепловой энергии  </v>
      </c>
      <c r="AB22" s="564"/>
      <c r="AC22" s="564"/>
      <c r="AD22" s="1219">
        <v>20</v>
      </c>
    </row>
    <row customHeight="1" ht="96.75">
      <c r="A23" s="1427" t="s">
        <v>169</v>
      </c>
      <c r="B23" s="1427" t="s">
        <v>170</v>
      </c>
      <c r="C23" s="1427" t="s">
        <v>171</v>
      </c>
      <c r="D23" s="1427" t="s">
        <v>172</v>
      </c>
      <c r="E23" s="1427"/>
      <c r="F23" s="2671" t="str">
        <f>L22&amp;".1"</f>
        <v>....1</v>
      </c>
      <c r="I23" s="2321">
        <v>1</v>
      </c>
      <c r="J23" s="1355"/>
      <c r="K23" s="420"/>
      <c r="L23" s="1357" t="str">
        <f>$F$23</f>
        <v>....1</v>
      </c>
      <c r="M23" s="349" t="s">
        <v>408</v>
      </c>
      <c r="N23" s="364"/>
      <c r="O23" s="2369"/>
      <c r="P23" s="2369"/>
      <c r="Q23" s="2369"/>
      <c r="R23" s="2369"/>
      <c r="S23" s="2369"/>
      <c r="T23" s="2369"/>
      <c r="U23" s="2369"/>
      <c r="V23" s="2369"/>
      <c r="W23" s="2369"/>
      <c r="X23" s="1322" t="s">
        <v>409</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169</v>
      </c>
      <c r="B24" s="1427" t="s">
        <v>170</v>
      </c>
      <c r="C24" s="1427" t="s">
        <v>171</v>
      </c>
      <c r="D24" s="1427" t="s">
        <v>172</v>
      </c>
      <c r="E24" s="1427"/>
      <c r="F24" s="2671"/>
      <c r="G24" s="2281" t="str">
        <f>F23&amp;".1"</f>
        <v>....1.1</v>
      </c>
      <c r="I24" s="2321"/>
      <c r="J24" s="2321">
        <v>1</v>
      </c>
      <c r="K24" s="421"/>
      <c r="L24" s="1357" t="str">
        <f>$G$24</f>
        <v>....1.1</v>
      </c>
      <c r="M24" s="350" t="s">
        <v>411</v>
      </c>
      <c r="N24" s="364"/>
      <c r="O24" s="2309"/>
      <c r="P24" s="2310"/>
      <c r="Q24" s="2310"/>
      <c r="R24" s="2310"/>
      <c r="S24" s="2310"/>
      <c r="T24" s="2310"/>
      <c r="U24" s="2310"/>
      <c r="V24" s="2310"/>
      <c r="W24" s="2311"/>
      <c r="X24" s="1322" t="s">
        <v>412</v>
      </c>
      <c r="Z24" s="564"/>
      <c r="AA24" s="564" t="str">
        <f>IF(M24="","",M24)</f>
        <v>Группа потребителей</v>
      </c>
      <c r="AB24" s="564"/>
      <c r="AC24" s="564"/>
      <c r="AD24" s="1219">
        <v>82</v>
      </c>
    </row>
    <row customHeight="1" ht="11.549999999999999">
      <c r="A25" s="1427" t="s">
        <v>169</v>
      </c>
      <c r="B25" s="1427" t="s">
        <v>170</v>
      </c>
      <c r="C25" s="1427" t="s">
        <v>171</v>
      </c>
      <c r="D25" s="1427" t="s">
        <v>172</v>
      </c>
      <c r="E25" s="1427"/>
      <c r="F25" s="2671"/>
      <c r="G25" s="2281"/>
      <c r="H25" s="2281" t="str">
        <f>G24&amp;".1"</f>
        <v>....1.1.1</v>
      </c>
      <c r="I25" s="2321"/>
      <c r="J25" s="2321"/>
      <c r="K25" s="421">
        <v>1</v>
      </c>
      <c r="L25" s="1357" t="str">
        <f>$H$25</f>
        <v>....1.1.1</v>
      </c>
      <c r="M25" s="1411"/>
      <c r="N25" s="364"/>
      <c r="O25" s="815"/>
      <c r="P25" s="389"/>
      <c r="Q25" s="815"/>
      <c r="R25" s="1321"/>
      <c r="S25" s="2666"/>
      <c r="T25" s="2171" t="s">
        <v>62</v>
      </c>
      <c r="U25" s="2666"/>
      <c r="V25" s="2171" t="s">
        <v>19</v>
      </c>
      <c r="W25" s="389"/>
      <c r="X25" s="2317" t="s">
        <v>414</v>
      </c>
      <c r="Y25" s="575">
        <f>STRCHECKDATE(O26:W26)</f>
      </c>
      <c r="Z25" s="564"/>
      <c r="AA25" s="564" t="str">
        <f>IF(M25="","",M25)</f>
        <v/>
      </c>
      <c r="AB25" s="564"/>
      <c r="AC25" s="564"/>
      <c r="AD25" s="1219">
        <v>11</v>
      </c>
    </row>
    <row customHeight="1" ht="11.549999999999999">
      <c r="A26" s="1427" t="s">
        <v>169</v>
      </c>
      <c r="B26" s="1427" t="s">
        <v>170</v>
      </c>
      <c r="C26" s="1427" t="s">
        <v>171</v>
      </c>
      <c r="D26" s="1427" t="s">
        <v>172</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169</v>
      </c>
      <c r="B27" s="1427" t="s">
        <v>170</v>
      </c>
      <c r="C27" s="1427" t="s">
        <v>171</v>
      </c>
      <c r="D27" s="1427" t="s">
        <v>172</v>
      </c>
      <c r="E27" s="1427"/>
      <c r="F27" s="2671"/>
      <c r="G27" s="2281"/>
      <c r="I27" s="2321"/>
      <c r="J27" s="2321"/>
      <c r="K27" s="420"/>
      <c r="L27" s="1342"/>
      <c r="M27" s="352" t="s">
        <v>415</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169</v>
      </c>
      <c r="B28" s="1427" t="s">
        <v>170</v>
      </c>
      <c r="C28" s="1427" t="s">
        <v>171</v>
      </c>
      <c r="D28" s="1427" t="s">
        <v>172</v>
      </c>
      <c r="E28" s="1427"/>
      <c r="F28" s="2671"/>
      <c r="I28" s="2321"/>
      <c r="J28" s="1355"/>
      <c r="K28" s="420"/>
      <c r="L28" s="1342"/>
      <c r="M28" s="351" t="s">
        <v>416</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169</v>
      </c>
      <c r="B29" s="1427" t="s">
        <v>170</v>
      </c>
      <c r="C29" s="1427" t="s">
        <v>171</v>
      </c>
      <c r="D29" s="1427" t="s">
        <v>172</v>
      </c>
      <c r="E29" s="1427"/>
      <c r="F29" s="1429"/>
      <c r="G29" s="1429"/>
      <c r="H29" s="601"/>
      <c r="I29" s="424"/>
      <c r="J29" s="439"/>
      <c r="K29" s="419"/>
      <c r="L29" s="1342"/>
      <c r="M29" s="429" t="s">
        <v>417</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169</v>
      </c>
      <c r="B30" s="1427" t="s">
        <v>170</v>
      </c>
      <c r="C30" s="1427" t="s">
        <v>171</v>
      </c>
      <c r="D30" s="1427"/>
      <c r="E30" s="1427" t="s">
        <v>590</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169</v>
      </c>
      <c r="B31" s="1427" t="s">
        <v>170</v>
      </c>
      <c r="C31" s="1427"/>
      <c r="D31" s="1427"/>
      <c r="E31" s="1427" t="s">
        <v>2235</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2236</v>
      </c>
      <c r="B32" s="1427"/>
      <c r="C32" s="1427"/>
      <c r="D32" s="1427"/>
      <c r="E32" s="1427" t="s">
        <v>105</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6188" customFormat="1" customHeight="1" ht="11.549999999999999">
      <c r="A33" s="1427"/>
      <c r="B33" s="1427"/>
      <c r="C33" s="1427"/>
      <c r="D33" s="1427"/>
      <c r="E33" s="1427" t="s">
        <v>257</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807</v>
      </c>
      <c r="M35" s="2349" t="s">
        <v>2237</v>
      </c>
      <c r="N35" s="2349"/>
      <c r="O35" s="2349"/>
      <c r="P35" s="2349"/>
      <c r="Q35" s="2349"/>
      <c r="R35" s="2349"/>
      <c r="S35" s="2349"/>
      <c r="T35" s="2349"/>
      <c r="U35" s="2349"/>
      <c r="V35" s="2349"/>
      <c r="W35" s="2349"/>
      <c r="X35" s="2349"/>
      <c r="AD35" s="1219">
        <v>27</v>
      </c>
    </row>
    <row customHeight="1" ht="109.19999999999999">
      <c r="H36" s="601"/>
      <c r="I36" s="1367"/>
      <c r="M36" s="2349" t="s">
        <v>2238</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83</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6A651-AD0D-C9D9-ED14-0.73723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E5AD3-C1DB-1E3A-6181-0.250515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4DA2C-3CE1-EFD6-DC2E-0.24DF77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BB8F7-8654-FFB9-8225-0.43E108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8A83E-0B0F-CBC9-30B6-0.3DBF19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7704B-6DB1-9EC9-68AF-0.FE6340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734" width="15.00390625" hidden="1" customWidth="1"/>
    <col min="2" max="2" style="3326" width="15.00390625" hidden="1" customWidth="1"/>
    <col min="3" max="3" style="3324" width="3.00390625" customWidth="1"/>
    <col min="4" max="4" style="3405" width="6.00390625" customWidth="1"/>
    <col min="5" max="5" style="3324" width="52.00390625" customWidth="1"/>
    <col min="6" max="6" style="3324" width="48.00390625" customWidth="1"/>
    <col min="7" max="7" style="3324" width="121.00390625" customWidth="1"/>
    <col min="8" max="8" style="3324" width="8.00390625" customWidth="1"/>
    <col min="9" max="9" style="3324" width="64.00390625" customWidth="1"/>
    <col min="10" max="10" style="3324" width="9.140625" hidden="1"/>
  </cols>
  <sheetData>
    <row customHeight="1" ht="11.25" hidden="1">
      <c r="A1" s="1750" t="s">
        <v>303</v>
      </c>
      <c r="J1" s="519" t="s">
        <v>14</v>
      </c>
    </row>
    <row customHeight="1" ht="11.25" hidden="1">
      <c r="J2" s="519">
        <v>0</v>
      </c>
    </row>
    <row s="3325" customFormat="1" customHeight="1" ht="11.549999999999999">
      <c r="A3" s="1750"/>
      <c r="B3" s="565"/>
      <c r="D3" s="542"/>
      <c r="J3" s="541">
        <v>11</v>
      </c>
    </row>
    <row customHeight="1" ht="27.299999999999997">
      <c r="D4" s="2221" t="str">
        <f>ORG_INFO_NAME_FORM</f>
        <v>Форма 1. Информация об организации, осуществляющей горячее водоснабжение (общая информация)</v>
      </c>
      <c r="E4" s="2222"/>
      <c r="F4" s="2223"/>
      <c r="I4" s="779"/>
      <c r="J4" s="519">
        <v>26</v>
      </c>
    </row>
    <row customHeight="1" ht="18">
      <c r="D5" s="2240" t="str">
        <f>IF(org=0,"Не определено",org)</f>
        <v>Нарьян-Марское МУ ПОКиТС</v>
      </c>
      <c r="E5" s="2240"/>
      <c r="F5" s="2240"/>
      <c r="I5" s="779"/>
      <c r="J5" s="519">
        <v>17</v>
      </c>
    </row>
    <row s="3325"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304</v>
      </c>
      <c r="E8" s="2269"/>
      <c r="F8" s="2269"/>
      <c r="G8" s="2272" t="s">
        <v>305</v>
      </c>
      <c r="J8" s="519">
        <v>11</v>
      </c>
    </row>
    <row customHeight="1" ht="11.549999999999999">
      <c r="A9" s="521"/>
      <c r="B9" s="566"/>
      <c r="C9" s="521"/>
      <c r="D9" s="536" t="s">
        <v>89</v>
      </c>
      <c r="E9" s="510" t="s">
        <v>306</v>
      </c>
      <c r="F9" s="510" t="s">
        <v>307</v>
      </c>
      <c r="G9" s="2273"/>
      <c r="J9" s="519">
        <v>11</v>
      </c>
    </row>
    <row customHeight="1" ht="12" hidden="1">
      <c r="A10" s="521"/>
      <c r="B10" s="566"/>
      <c r="C10" s="521"/>
      <c r="D10" s="528"/>
      <c r="E10" s="528"/>
      <c r="F10" s="528"/>
      <c r="G10" s="528"/>
      <c r="J10" s="519">
        <v>0</v>
      </c>
    </row>
    <row customHeight="1" ht="22.5" hidden="1">
      <c r="A11" s="521"/>
      <c r="B11" s="566"/>
      <c r="C11" s="521"/>
      <c r="D11" s="1073" t="s">
        <v>110</v>
      </c>
      <c r="E11" s="1076" t="s">
        <v>308</v>
      </c>
      <c r="F11" s="1075" t="str">
        <f>IF(region_name="","",region_name)</f>
        <v>Ненецкий автономный округ</v>
      </c>
      <c r="G11" s="1076" t="s">
        <v>309</v>
      </c>
      <c r="H11" s="539"/>
      <c r="J11" s="519">
        <v>0</v>
      </c>
    </row>
    <row customHeight="1" ht="22.5" hidden="1">
      <c r="A12" s="521"/>
      <c r="B12" s="566"/>
      <c r="C12" s="521"/>
      <c r="D12" s="509" t="s">
        <v>110</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310</v>
      </c>
      <c r="G12" s="538"/>
      <c r="H12" s="539"/>
      <c r="J12" s="519">
        <v>0</v>
      </c>
    </row>
    <row customHeight="1" ht="23.25">
      <c r="A13" s="521"/>
      <c r="B13" s="566"/>
      <c r="C13" s="521"/>
      <c r="D13" s="509" t="s">
        <v>110</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311</v>
      </c>
      <c r="E14" s="1074" t="s">
        <v>312</v>
      </c>
      <c r="F14" s="1075" t="str">
        <f>IF(inn="","",inn)</f>
        <v>8301020069</v>
      </c>
      <c r="G14" s="1076" t="s">
        <v>313</v>
      </c>
      <c r="H14" s="539"/>
      <c r="J14" s="519">
        <v>0</v>
      </c>
    </row>
    <row customHeight="1" ht="22.5" hidden="1">
      <c r="A15" s="521"/>
      <c r="B15" s="566"/>
      <c r="C15" s="521"/>
      <c r="D15" s="1073" t="s">
        <v>314</v>
      </c>
      <c r="E15" s="1074" t="s">
        <v>315</v>
      </c>
      <c r="F15" s="1075" t="str">
        <f>IF(kpp="","",kpp)</f>
        <v>298301001</v>
      </c>
      <c r="G15" s="1076" t="s">
        <v>316</v>
      </c>
      <c r="H15" s="539"/>
      <c r="J15" s="519">
        <v>0</v>
      </c>
    </row>
    <row customHeight="1" ht="39">
      <c r="A16" s="521"/>
      <c r="B16" s="566"/>
      <c r="C16" s="521"/>
      <c r="D16" s="509" t="s">
        <v>111</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91</v>
      </c>
      <c r="E17" s="506" t="str">
        <f>"Дата присвоения ОГРН"&amp;IF(TEMPLATE_SPHERE="TKO",""," (ОГРНИП)")</f>
        <v>Дата присвоения ОГРН (ОГРНИП)</v>
      </c>
      <c r="F17" s="1796" t="s">
        <v>28</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92</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317</v>
      </c>
      <c r="B19" s="566"/>
      <c r="C19" s="2277"/>
      <c r="D19" s="509" t="str">
        <f>A19</f>
        <v>5.1</v>
      </c>
      <c r="E19" s="506" t="s">
        <v>318</v>
      </c>
      <c r="F19" s="507" t="s">
        <v>310</v>
      </c>
      <c r="G19" s="508" t="s">
        <v>319</v>
      </c>
      <c r="H19" s="539"/>
      <c r="I19" s="916"/>
      <c r="J19" s="519">
        <v>0</v>
      </c>
    </row>
    <row customHeight="1" ht="24" hidden="1">
      <c r="A20" s="2266"/>
      <c r="B20" s="566"/>
      <c r="C20" s="2277"/>
      <c r="D20" s="504" t="str">
        <f>D19&amp;".1"</f>
        <v>5.1.1</v>
      </c>
      <c r="E20" s="503" t="s">
        <v>320</v>
      </c>
      <c r="F20" s="945" t="s">
        <v>28</v>
      </c>
      <c r="G20" s="538"/>
      <c r="H20" s="539"/>
      <c r="I20" s="916"/>
      <c r="J20" s="519">
        <v>0</v>
      </c>
    </row>
    <row customHeight="1" ht="22.5" hidden="1">
      <c r="A21" s="2266"/>
      <c r="B21" s="566"/>
      <c r="C21" s="2277"/>
      <c r="D21" s="504" t="str">
        <f>D19&amp;".2"</f>
        <v>5.1.2</v>
      </c>
      <c r="E21" s="503" t="s">
        <v>321</v>
      </c>
      <c r="F21" s="1797" t="s">
        <v>28</v>
      </c>
      <c r="G21" s="508" t="s">
        <v>322</v>
      </c>
      <c r="H21" s="539"/>
      <c r="I21" s="916"/>
      <c r="J21" s="519">
        <v>0</v>
      </c>
    </row>
    <row customHeight="1" ht="22.5" hidden="1">
      <c r="A22" s="2266"/>
      <c r="B22" s="566"/>
      <c r="C22" s="2277"/>
      <c r="D22" s="504" t="str">
        <f>D19&amp;".3"</f>
        <v>5.1.3</v>
      </c>
      <c r="E22" s="503" t="s">
        <v>323</v>
      </c>
      <c r="F22" s="945" t="s">
        <v>28</v>
      </c>
      <c r="G22" s="538"/>
      <c r="H22" s="539"/>
      <c r="I22" s="916"/>
      <c r="J22" s="519">
        <v>0</v>
      </c>
    </row>
    <row customHeight="1" ht="22.5" hidden="1">
      <c r="A23" s="2266"/>
      <c r="B23" s="566"/>
      <c r="C23" s="2277"/>
      <c r="D23" s="504" t="str">
        <f>D19&amp;".4"</f>
        <v>5.1.4</v>
      </c>
      <c r="E23" s="503" t="s">
        <v>324</v>
      </c>
      <c r="F23" s="945" t="s">
        <v>28</v>
      </c>
      <c r="G23" s="508" t="s">
        <v>325</v>
      </c>
      <c r="H23" s="539"/>
      <c r="I23" s="916"/>
      <c r="J23" s="519">
        <v>0</v>
      </c>
    </row>
    <row customHeight="1" ht="22.5" hidden="1">
      <c r="A24" s="2042"/>
      <c r="B24" s="566"/>
      <c r="C24" s="556"/>
      <c r="D24" s="531"/>
      <c r="E24" s="1232" t="s">
        <v>326</v>
      </c>
      <c r="F24" s="532"/>
      <c r="G24" s="533"/>
      <c r="H24" s="539"/>
      <c r="I24" s="916"/>
      <c r="J24" s="519">
        <v>0</v>
      </c>
    </row>
    <row s="3326" customFormat="1" customHeight="1" ht="24.75" hidden="1">
      <c r="A25" s="521"/>
      <c r="B25" s="566"/>
      <c r="C25" s="566"/>
      <c r="D25" s="1070" t="s">
        <v>91</v>
      </c>
      <c r="E25" s="1072" t="s">
        <v>327</v>
      </c>
      <c r="F25" s="1077" t="s">
        <v>310</v>
      </c>
      <c r="G25" s="1072"/>
      <c r="J25" s="565">
        <v>0</v>
      </c>
    </row>
    <row s="3326" customFormat="1" customHeight="1" ht="11.25" hidden="1">
      <c r="A26" s="521"/>
      <c r="B26" s="566"/>
      <c r="C26" s="566"/>
      <c r="D26" s="1070" t="s">
        <v>328</v>
      </c>
      <c r="E26" s="1071" t="s">
        <v>329</v>
      </c>
      <c r="F26" s="1077" t="s">
        <v>310</v>
      </c>
      <c r="G26" s="1072"/>
      <c r="J26" s="565">
        <v>0</v>
      </c>
    </row>
    <row s="3326" customFormat="1" customHeight="1" ht="11.25" hidden="1">
      <c r="A27" s="521"/>
      <c r="B27" s="566"/>
      <c r="C27" s="566"/>
      <c r="D27" s="1070" t="s">
        <v>330</v>
      </c>
      <c r="E27" s="1078" t="s">
        <v>331</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5">
        <v>0</v>
      </c>
    </row>
    <row s="3326" customFormat="1" customHeight="1" ht="11.25" hidden="1">
      <c r="A28" s="521"/>
      <c r="B28" s="566"/>
      <c r="C28" s="566"/>
      <c r="D28" s="1070" t="s">
        <v>332</v>
      </c>
      <c r="E28" s="1078" t="s">
        <v>333</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5">
        <v>0</v>
      </c>
    </row>
    <row s="3326" customFormat="1" customHeight="1" ht="11.25" hidden="1">
      <c r="A29" s="521"/>
      <c r="B29" s="566"/>
      <c r="C29" s="566"/>
      <c r="D29" s="1070" t="s">
        <v>334</v>
      </c>
      <c r="E29" s="1078" t="s">
        <v>335</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5">
        <v>0</v>
      </c>
    </row>
    <row s="3326" customFormat="1" customHeight="1" ht="11.25" hidden="1">
      <c r="A30" s="521"/>
      <c r="B30" s="566"/>
      <c r="C30" s="566"/>
      <c r="D30" s="1070" t="s">
        <v>336</v>
      </c>
      <c r="E30" s="1071" t="s">
        <v>337</v>
      </c>
      <c r="F30" s="1079"/>
      <c r="G30" s="1072"/>
      <c r="J30" s="565">
        <v>0</v>
      </c>
    </row>
    <row s="3326" customFormat="1" customHeight="1" ht="11.25" hidden="1">
      <c r="A31" s="521"/>
      <c r="B31" s="566"/>
      <c r="C31" s="566"/>
      <c r="D31" s="1070" t="s">
        <v>338</v>
      </c>
      <c r="E31" s="1071" t="s">
        <v>339</v>
      </c>
      <c r="F31" s="1079"/>
      <c r="G31" s="1072"/>
      <c r="J31" s="565">
        <v>0</v>
      </c>
    </row>
    <row s="3326" customFormat="1" customHeight="1" ht="11.25" hidden="1">
      <c r="A32" s="521"/>
      <c r="B32" s="566"/>
      <c r="C32" s="566"/>
      <c r="D32" s="1070" t="s">
        <v>340</v>
      </c>
      <c r="E32" s="1071" t="s">
        <v>341</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310</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342</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342</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310</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343</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344</v>
      </c>
      <c r="H44" s="539"/>
      <c r="J44" s="519">
        <v>22</v>
      </c>
    </row>
    <row customHeight="1" ht="23.25">
      <c r="A45" s="521"/>
      <c r="B45" s="566"/>
      <c r="C45" s="521"/>
      <c r="D45" s="504">
        <f>D44+1</f>
        <v>11</v>
      </c>
      <c r="E45" s="502" t="s">
        <v>345</v>
      </c>
      <c r="F45" s="507" t="s">
        <v>310</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346</v>
      </c>
      <c r="H46" s="539"/>
      <c r="J46" s="519">
        <v>23</v>
      </c>
    </row>
    <row customHeight="1" ht="24">
      <c r="A47" s="2266"/>
      <c r="B47" s="566"/>
      <c r="C47" s="556"/>
      <c r="D47" s="504" t="str">
        <f>D45&amp;".2"</f>
        <v>11.2</v>
      </c>
      <c r="E47" s="506" t="s">
        <v>347</v>
      </c>
      <c r="F47" s="554"/>
      <c r="G47" s="501" t="s">
        <v>348</v>
      </c>
      <c r="H47" s="539"/>
      <c r="J47" s="519">
        <v>23</v>
      </c>
    </row>
    <row customHeight="1" ht="24">
      <c r="A48" s="2266"/>
      <c r="B48" s="566"/>
      <c r="C48" s="556"/>
      <c r="D48" s="504" t="str">
        <f>D45&amp;".3"</f>
        <v>11.3</v>
      </c>
      <c r="E48" s="506" t="s">
        <v>349</v>
      </c>
      <c r="F48" s="554"/>
      <c r="G48" s="501" t="s">
        <v>350</v>
      </c>
      <c r="H48" s="539"/>
      <c r="J48" s="519">
        <v>23</v>
      </c>
    </row>
    <row customHeight="1" ht="24">
      <c r="A49" s="2266"/>
      <c r="B49" s="566"/>
      <c r="C49" s="556"/>
      <c r="D49" s="504" t="str">
        <f>IF(TEMPLATE_SPHERE="TKO",D45&amp;".0",D45&amp;".4")</f>
        <v>11.4</v>
      </c>
      <c r="E49" s="500" t="s">
        <v>351</v>
      </c>
      <c r="F49" s="1749"/>
      <c r="G49" s="1826" t="s">
        <v>352</v>
      </c>
      <c r="H49" s="539"/>
      <c r="J49" s="519">
        <v>23</v>
      </c>
    </row>
    <row customHeight="1" ht="24">
      <c r="A50" s="521"/>
      <c r="B50" s="566"/>
      <c r="C50" s="521"/>
      <c r="D50" s="531"/>
      <c r="E50" s="479" t="s">
        <v>353</v>
      </c>
      <c r="F50" s="532"/>
      <c r="G50" s="1826" t="s">
        <v>354</v>
      </c>
      <c r="H50" s="540"/>
      <c r="J50" s="519">
        <v>23</v>
      </c>
    </row>
    <row customHeight="1" ht="24">
      <c r="A51" s="922"/>
      <c r="B51" s="566"/>
      <c r="C51" s="556"/>
      <c r="D51" s="504">
        <f>D45+1</f>
        <v>12</v>
      </c>
      <c r="E51" s="592" t="s">
        <v>355</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93"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93" customFormat="1" customHeight="1" ht="42">
      <c r="A54" s="521"/>
      <c r="B54" s="566"/>
      <c r="C54" s="2267"/>
      <c r="D54" s="227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83</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6DC5E-85F6-1ACC-5195-0.F871A6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6F0B2-FED3-23F8-4B73-0.CCB988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6FA78-CF67-3B7B-7907-0.B13171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E57F5-3754-1344-F5D6-0.E9803A55}" mc:Ignorable="x14ac xr xr2 xr3">
  <dimension ref="A1:E8"/>
  <sheetViews>
    <sheetView topLeftCell="A1" showGridLines="0" workbookViewId="0">
      <selection activeCell="A1" sqref="A1"/>
    </sheetView>
  </sheetViews>
  <sheetFormatPr customHeight="1" defaultRowHeight="11.25"/>
  <cols>
    <col min="1" max="1" style="6188" width="10.57421875" customWidth="1"/>
    <col min="2" max="2" style="6188" width="8.7109375" customWidth="1"/>
    <col min="3" max="3" style="6188" width="18.140625" customWidth="1"/>
    <col min="4" max="4" style="6188" width="12.57421875" customWidth="1"/>
  </cols>
  <sheetData>
    <row customHeight="1" ht="11.25">
      <c r="A1" s="2679" t="s">
        <v>2239</v>
      </c>
      <c r="B1" s="2680" t="s">
        <v>2240</v>
      </c>
      <c r="C1" s="2681" t="s">
        <v>2241</v>
      </c>
      <c r="D1" s="2682"/>
      <c r="E1" s="900" t="s">
        <v>2242</v>
      </c>
    </row>
    <row customHeight="1" ht="11.25">
      <c r="A2" s="2683"/>
      <c r="B2" s="829" t="s">
        <v>26</v>
      </c>
      <c r="C2" s="817"/>
      <c r="D2" s="828"/>
      <c r="E2" s="900"/>
    </row>
    <row customHeight="1" ht="11.25">
      <c r="A3" s="2684"/>
      <c r="B3" s="2685" t="s">
        <v>33</v>
      </c>
      <c r="C3" s="817"/>
      <c r="D3" s="828"/>
      <c r="E3" s="900"/>
    </row>
    <row customHeight="1" ht="11.25">
      <c r="A4" s="2686"/>
      <c r="B4" s="830" t="s">
        <v>1668</v>
      </c>
      <c r="C4" s="817"/>
      <c r="D4" s="828"/>
      <c r="E4" s="900"/>
    </row>
    <row customHeight="1" ht="11.25">
      <c r="A5" s="2687"/>
      <c r="B5" s="830" t="s">
        <v>1662</v>
      </c>
      <c r="C5" s="2688" t="s">
        <v>2006</v>
      </c>
      <c r="D5" s="2689" t="s">
        <v>2243</v>
      </c>
      <c r="E5" s="900"/>
    </row>
    <row s="6188" customFormat="1" customHeight="1" ht="11.25">
      <c r="A6" s="2690"/>
      <c r="B6" s="830" t="s">
        <v>1672</v>
      </c>
      <c r="C6" s="817"/>
      <c r="D6" s="828"/>
      <c r="E6" s="900"/>
    </row>
    <row customHeight="1" ht="11.25">
      <c r="A7" s="2691"/>
      <c r="B7" s="830" t="s">
        <v>1680</v>
      </c>
      <c r="C7" s="817"/>
      <c r="D7" s="828"/>
      <c r="E7" s="900"/>
    </row>
    <row customHeight="1" ht="11.25">
      <c r="A8" s="820"/>
      <c r="B8" s="830" t="s">
        <v>1675</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23CD9-7015-DB82-B31F-0.8EFF9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BCD4-1275-B80F-FB89-0.5A5825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D06F4-3EEF-63B4-4C47-0.297050EA}"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6188" width="9.140625"/>
    <col min="3" max="3" style="6188" width="20.7109375" customWidth="1"/>
    <col min="4" max="4" style="6188" width="25.140625" customWidth="1"/>
    <col min="5" max="9" style="6188" width="9.140625"/>
  </cols>
  <sheetData>
    <row customHeight="1" ht="11.25">
      <c r="A1" s="132" t="s">
        <v>2244</v>
      </c>
      <c r="B1" s="132" t="s">
        <v>2245</v>
      </c>
      <c r="C1" s="132" t="s">
        <v>2246</v>
      </c>
      <c r="D1" s="132" t="s">
        <v>2247</v>
      </c>
      <c r="E1" s="132" t="s">
        <v>2248</v>
      </c>
      <c r="F1" s="132" t="s">
        <v>2249</v>
      </c>
      <c r="G1" s="132" t="s">
        <v>2250</v>
      </c>
      <c r="H1" s="132" t="s">
        <v>2251</v>
      </c>
      <c r="I1" s="132" t="s">
        <v>2252</v>
      </c>
    </row>
    <row customHeight="1" ht="11.25">
      <c r="A2" s="6173" t="s">
        <v>2253</v>
      </c>
      <c r="B2" s="6173" t="s">
        <v>16</v>
      </c>
      <c r="C2" s="6173" t="s">
        <v>2254</v>
      </c>
      <c r="D2" s="6173" t="s">
        <v>2255</v>
      </c>
      <c r="E2" s="6173" t="s">
        <v>2256</v>
      </c>
      <c r="F2" s="6173" t="s">
        <v>2257</v>
      </c>
      <c r="G2" s="6173" t="s">
        <v>28</v>
      </c>
      <c r="H2" s="6173" t="s">
        <v>28</v>
      </c>
      <c r="I2" s="6173" t="s">
        <v>811</v>
      </c>
    </row>
    <row customHeight="1" ht="11.25">
      <c r="A3" s="6173" t="s">
        <v>2253</v>
      </c>
      <c r="B3" s="6173" t="s">
        <v>16</v>
      </c>
      <c r="C3" s="6173" t="s">
        <v>2258</v>
      </c>
      <c r="D3" s="6173" t="s">
        <v>2259</v>
      </c>
      <c r="E3" s="6173" t="s">
        <v>2260</v>
      </c>
      <c r="F3" s="6173" t="s">
        <v>53</v>
      </c>
      <c r="G3" s="6173" t="s">
        <v>28</v>
      </c>
      <c r="H3" s="6173" t="s">
        <v>28</v>
      </c>
      <c r="I3" s="6173" t="s">
        <v>811</v>
      </c>
    </row>
    <row customHeight="1" ht="11.25">
      <c r="A4" s="6173" t="s">
        <v>2253</v>
      </c>
      <c r="B4" s="6173" t="s">
        <v>16</v>
      </c>
      <c r="C4" s="6173" t="s">
        <v>2261</v>
      </c>
      <c r="D4" s="6173" t="s">
        <v>2262</v>
      </c>
      <c r="E4" s="6173" t="s">
        <v>2263</v>
      </c>
      <c r="F4" s="6173" t="s">
        <v>53</v>
      </c>
      <c r="G4" s="6173" t="s">
        <v>28</v>
      </c>
      <c r="H4" s="6173" t="s">
        <v>28</v>
      </c>
      <c r="I4" s="6173" t="s">
        <v>811</v>
      </c>
    </row>
    <row customHeight="1" ht="11.25">
      <c r="A5" s="6173" t="s">
        <v>2253</v>
      </c>
      <c r="B5" s="6173" t="s">
        <v>16</v>
      </c>
      <c r="C5" s="6173" t="s">
        <v>2264</v>
      </c>
      <c r="D5" s="6173" t="s">
        <v>2265</v>
      </c>
      <c r="E5" s="6173" t="s">
        <v>2266</v>
      </c>
      <c r="F5" s="6173" t="s">
        <v>53</v>
      </c>
      <c r="G5" s="6173" t="s">
        <v>28</v>
      </c>
      <c r="H5" s="6173" t="s">
        <v>28</v>
      </c>
      <c r="I5" s="6173" t="s">
        <v>811</v>
      </c>
    </row>
    <row customHeight="1" ht="11.25">
      <c r="A6" s="6173" t="s">
        <v>2253</v>
      </c>
      <c r="B6" s="6173" t="s">
        <v>16</v>
      </c>
      <c r="C6" s="6173" t="s">
        <v>2267</v>
      </c>
      <c r="D6" s="6173" t="s">
        <v>2268</v>
      </c>
      <c r="E6" s="6173" t="s">
        <v>2269</v>
      </c>
      <c r="F6" s="6173" t="s">
        <v>53</v>
      </c>
      <c r="G6" s="6173" t="s">
        <v>28</v>
      </c>
      <c r="H6" s="6173" t="s">
        <v>28</v>
      </c>
      <c r="I6" s="6173" t="s">
        <v>811</v>
      </c>
    </row>
    <row customHeight="1" ht="11.25">
      <c r="A7" s="6173" t="s">
        <v>2253</v>
      </c>
      <c r="B7" s="6173" t="s">
        <v>16</v>
      </c>
      <c r="C7" s="6173" t="s">
        <v>2270</v>
      </c>
      <c r="D7" s="6173" t="s">
        <v>2271</v>
      </c>
      <c r="E7" s="6173" t="s">
        <v>2272</v>
      </c>
      <c r="F7" s="6173" t="s">
        <v>53</v>
      </c>
      <c r="G7" s="6173" t="s">
        <v>28</v>
      </c>
      <c r="H7" s="6173" t="s">
        <v>28</v>
      </c>
      <c r="I7" s="6173" t="s">
        <v>811</v>
      </c>
    </row>
    <row customHeight="1" ht="11.25">
      <c r="A8" s="6173" t="s">
        <v>2253</v>
      </c>
      <c r="B8" s="6173" t="s">
        <v>16</v>
      </c>
      <c r="C8" s="6173" t="s">
        <v>13</v>
      </c>
      <c r="D8" s="6173" t="s">
        <v>48</v>
      </c>
      <c r="E8" s="6173" t="s">
        <v>51</v>
      </c>
      <c r="F8" s="6173" t="s">
        <v>53</v>
      </c>
      <c r="G8" s="6173" t="s">
        <v>28</v>
      </c>
      <c r="H8" s="6173" t="s">
        <v>28</v>
      </c>
      <c r="I8" s="6173" t="s">
        <v>811</v>
      </c>
    </row>
    <row customHeight="1" ht="11.25">
      <c r="A9" s="6173" t="s">
        <v>2253</v>
      </c>
      <c r="B9" s="6173" t="s">
        <v>16</v>
      </c>
      <c r="C9" s="6173" t="s">
        <v>2273</v>
      </c>
      <c r="D9" s="6173" t="s">
        <v>2274</v>
      </c>
      <c r="E9" s="6173" t="s">
        <v>2275</v>
      </c>
      <c r="F9" s="6173" t="s">
        <v>53</v>
      </c>
      <c r="G9" s="6173" t="s">
        <v>2276</v>
      </c>
      <c r="H9" s="6173" t="s">
        <v>28</v>
      </c>
      <c r="I9" s="6173" t="s">
        <v>811</v>
      </c>
    </row>
    <row customHeight="1" ht="11.25">
      <c r="A10" s="6173" t="s">
        <v>2253</v>
      </c>
      <c r="B10" s="6173" t="s">
        <v>16</v>
      </c>
      <c r="C10" s="6173" t="s">
        <v>2277</v>
      </c>
      <c r="D10" s="6173" t="s">
        <v>2278</v>
      </c>
      <c r="E10" s="6173" t="s">
        <v>2279</v>
      </c>
      <c r="F10" s="6173" t="s">
        <v>2280</v>
      </c>
      <c r="G10" s="6173" t="s">
        <v>28</v>
      </c>
      <c r="H10" s="6173" t="s">
        <v>28</v>
      </c>
      <c r="I10" s="6173" t="s">
        <v>811</v>
      </c>
    </row>
    <row customHeight="1" ht="11.25">
      <c r="A11" s="6173" t="s">
        <v>2253</v>
      </c>
      <c r="B11" s="6173" t="s">
        <v>16</v>
      </c>
      <c r="C11" s="6173" t="s">
        <v>2281</v>
      </c>
      <c r="D11" s="6173" t="s">
        <v>2282</v>
      </c>
      <c r="E11" s="6173" t="s">
        <v>2283</v>
      </c>
      <c r="F11" s="6173" t="s">
        <v>2284</v>
      </c>
      <c r="G11" s="6173" t="s">
        <v>28</v>
      </c>
      <c r="H11" s="6173" t="s">
        <v>28</v>
      </c>
      <c r="I11" s="6173" t="s">
        <v>811</v>
      </c>
    </row>
    <row customHeight="1" ht="11.25">
      <c r="A12" s="6173" t="s">
        <v>2253</v>
      </c>
      <c r="B12" s="6173" t="s">
        <v>16</v>
      </c>
      <c r="C12" s="6173" t="s">
        <v>2285</v>
      </c>
      <c r="D12" s="6173" t="s">
        <v>2286</v>
      </c>
      <c r="E12" s="6173" t="s">
        <v>2287</v>
      </c>
      <c r="F12" s="6173" t="s">
        <v>53</v>
      </c>
      <c r="G12" s="6173" t="s">
        <v>28</v>
      </c>
      <c r="H12" s="6173" t="s">
        <v>28</v>
      </c>
      <c r="I12" s="6173" t="s">
        <v>811</v>
      </c>
    </row>
    <row customHeight="1" ht="11.25">
      <c r="A13" s="6173" t="s">
        <v>2253</v>
      </c>
      <c r="B13" s="6173" t="s">
        <v>16</v>
      </c>
      <c r="C13" s="6173" t="s">
        <v>2288</v>
      </c>
      <c r="D13" s="6173" t="s">
        <v>2289</v>
      </c>
      <c r="E13" s="6173" t="s">
        <v>2256</v>
      </c>
      <c r="F13" s="6173" t="s">
        <v>2290</v>
      </c>
      <c r="G13" s="6173" t="s">
        <v>2291</v>
      </c>
      <c r="H13" s="6173" t="s">
        <v>28</v>
      </c>
      <c r="I13" s="6173" t="s">
        <v>811</v>
      </c>
    </row>
    <row customHeight="1" ht="11.25">
      <c r="A14" s="6173" t="s">
        <v>2253</v>
      </c>
      <c r="B14" s="6173" t="s">
        <v>16</v>
      </c>
      <c r="C14" s="6173" t="s">
        <v>28</v>
      </c>
      <c r="D14" s="6173" t="s">
        <v>2292</v>
      </c>
      <c r="E14" s="6173" t="s">
        <v>2293</v>
      </c>
      <c r="F14" s="6173" t="s">
        <v>53</v>
      </c>
      <c r="G14" s="6173" t="s">
        <v>28</v>
      </c>
      <c r="H14" s="6173" t="s">
        <v>28</v>
      </c>
      <c r="I14" s="6173" t="s">
        <v>811</v>
      </c>
    </row>
    <row customHeight="1" ht="11.25">
      <c r="A15" s="6173" t="s">
        <v>2253</v>
      </c>
      <c r="B15" s="6173" t="s">
        <v>16</v>
      </c>
      <c r="C15" s="6173" t="s">
        <v>2294</v>
      </c>
      <c r="D15" s="6173" t="s">
        <v>2295</v>
      </c>
      <c r="E15" s="6173" t="s">
        <v>2296</v>
      </c>
      <c r="F15" s="6173" t="s">
        <v>2297</v>
      </c>
      <c r="G15" s="6173" t="s">
        <v>28</v>
      </c>
      <c r="H15" s="6173" t="s">
        <v>28</v>
      </c>
      <c r="I15" s="6173" t="s">
        <v>811</v>
      </c>
    </row>
    <row customHeight="1" ht="11.25">
      <c r="A16" s="6173" t="s">
        <v>2253</v>
      </c>
      <c r="B16" s="6173" t="s">
        <v>16</v>
      </c>
      <c r="C16" s="6173" t="s">
        <v>2298</v>
      </c>
      <c r="D16" s="6173" t="s">
        <v>2299</v>
      </c>
      <c r="E16" s="6173" t="s">
        <v>2296</v>
      </c>
      <c r="F16" s="6173" t="s">
        <v>2300</v>
      </c>
      <c r="G16" s="6173" t="s">
        <v>2301</v>
      </c>
      <c r="H16" s="6173" t="s">
        <v>28</v>
      </c>
      <c r="I16" s="6173" t="s">
        <v>811</v>
      </c>
    </row>
    <row customHeight="1" ht="11.25">
      <c r="A17" s="6173" t="s">
        <v>2253</v>
      </c>
      <c r="B17" s="6173" t="s">
        <v>16</v>
      </c>
      <c r="C17" s="6173" t="s">
        <v>2254</v>
      </c>
      <c r="D17" s="6173" t="s">
        <v>2255</v>
      </c>
      <c r="E17" s="6173" t="s">
        <v>2256</v>
      </c>
      <c r="F17" s="6173" t="s">
        <v>2257</v>
      </c>
      <c r="G17" s="6173" t="s">
        <v>28</v>
      </c>
      <c r="H17" s="6173" t="s">
        <v>28</v>
      </c>
      <c r="I17" s="6173" t="s">
        <v>897</v>
      </c>
    </row>
    <row customHeight="1" ht="11.25">
      <c r="A18" s="6173" t="s">
        <v>2253</v>
      </c>
      <c r="B18" s="6173" t="s">
        <v>16</v>
      </c>
      <c r="C18" s="6173" t="s">
        <v>2258</v>
      </c>
      <c r="D18" s="6173" t="s">
        <v>2259</v>
      </c>
      <c r="E18" s="6173" t="s">
        <v>2260</v>
      </c>
      <c r="F18" s="6173" t="s">
        <v>53</v>
      </c>
      <c r="G18" s="6173" t="s">
        <v>28</v>
      </c>
      <c r="H18" s="6173" t="s">
        <v>28</v>
      </c>
      <c r="I18" s="6173" t="s">
        <v>897</v>
      </c>
    </row>
    <row customHeight="1" ht="11.25">
      <c r="A19" s="6173" t="s">
        <v>2253</v>
      </c>
      <c r="B19" s="6173" t="s">
        <v>16</v>
      </c>
      <c r="C19" s="6173" t="s">
        <v>2261</v>
      </c>
      <c r="D19" s="6173" t="s">
        <v>2262</v>
      </c>
      <c r="E19" s="6173" t="s">
        <v>2263</v>
      </c>
      <c r="F19" s="6173" t="s">
        <v>53</v>
      </c>
      <c r="G19" s="6173" t="s">
        <v>28</v>
      </c>
      <c r="H19" s="6173" t="s">
        <v>28</v>
      </c>
      <c r="I19" s="6173" t="s">
        <v>897</v>
      </c>
    </row>
    <row customHeight="1" ht="11.25">
      <c r="A20" s="6173" t="s">
        <v>2253</v>
      </c>
      <c r="B20" s="6173" t="s">
        <v>16</v>
      </c>
      <c r="C20" s="6173" t="s">
        <v>2264</v>
      </c>
      <c r="D20" s="6173" t="s">
        <v>2265</v>
      </c>
      <c r="E20" s="6173" t="s">
        <v>2266</v>
      </c>
      <c r="F20" s="6173" t="s">
        <v>53</v>
      </c>
      <c r="G20" s="6173" t="s">
        <v>28</v>
      </c>
      <c r="H20" s="6173" t="s">
        <v>28</v>
      </c>
      <c r="I20" s="6173" t="s">
        <v>897</v>
      </c>
    </row>
    <row customHeight="1" ht="11.25">
      <c r="A21" s="6173" t="s">
        <v>2253</v>
      </c>
      <c r="B21" s="6173" t="s">
        <v>16</v>
      </c>
      <c r="C21" s="6173" t="s">
        <v>2267</v>
      </c>
      <c r="D21" s="6173" t="s">
        <v>2268</v>
      </c>
      <c r="E21" s="6173" t="s">
        <v>2269</v>
      </c>
      <c r="F21" s="6173" t="s">
        <v>53</v>
      </c>
      <c r="G21" s="6173" t="s">
        <v>28</v>
      </c>
      <c r="H21" s="6173" t="s">
        <v>28</v>
      </c>
      <c r="I21" s="6173" t="s">
        <v>897</v>
      </c>
    </row>
    <row customHeight="1" ht="11.25">
      <c r="A22" s="6173" t="s">
        <v>2253</v>
      </c>
      <c r="B22" s="6173" t="s">
        <v>16</v>
      </c>
      <c r="C22" s="6173" t="s">
        <v>13</v>
      </c>
      <c r="D22" s="6173" t="s">
        <v>48</v>
      </c>
      <c r="E22" s="6173" t="s">
        <v>51</v>
      </c>
      <c r="F22" s="6173" t="s">
        <v>53</v>
      </c>
      <c r="G22" s="6173" t="s">
        <v>28</v>
      </c>
      <c r="H22" s="6173" t="s">
        <v>28</v>
      </c>
      <c r="I22" s="6173" t="s">
        <v>897</v>
      </c>
    </row>
    <row customHeight="1" ht="11.25">
      <c r="A23" s="6173" t="s">
        <v>2253</v>
      </c>
      <c r="B23" s="6173" t="s">
        <v>16</v>
      </c>
      <c r="C23" s="6173" t="s">
        <v>2273</v>
      </c>
      <c r="D23" s="6173" t="s">
        <v>2274</v>
      </c>
      <c r="E23" s="6173" t="s">
        <v>2275</v>
      </c>
      <c r="F23" s="6173" t="s">
        <v>53</v>
      </c>
      <c r="G23" s="6173" t="s">
        <v>2276</v>
      </c>
      <c r="H23" s="6173" t="s">
        <v>28</v>
      </c>
      <c r="I23" s="6173" t="s">
        <v>897</v>
      </c>
    </row>
    <row customHeight="1" ht="11.25">
      <c r="A24" s="6173" t="s">
        <v>2253</v>
      </c>
      <c r="B24" s="6173" t="s">
        <v>16</v>
      </c>
      <c r="C24" s="6173" t="s">
        <v>2277</v>
      </c>
      <c r="D24" s="6173" t="s">
        <v>2278</v>
      </c>
      <c r="E24" s="6173" t="s">
        <v>2279</v>
      </c>
      <c r="F24" s="6173" t="s">
        <v>2280</v>
      </c>
      <c r="G24" s="6173" t="s">
        <v>28</v>
      </c>
      <c r="H24" s="6173" t="s">
        <v>28</v>
      </c>
      <c r="I24" s="6173" t="s">
        <v>897</v>
      </c>
    </row>
    <row customHeight="1" ht="11.25">
      <c r="A25" s="6173" t="s">
        <v>2253</v>
      </c>
      <c r="B25" s="6173" t="s">
        <v>16</v>
      </c>
      <c r="C25" s="6173" t="s">
        <v>2288</v>
      </c>
      <c r="D25" s="6173" t="s">
        <v>2289</v>
      </c>
      <c r="E25" s="6173" t="s">
        <v>2256</v>
      </c>
      <c r="F25" s="6173" t="s">
        <v>2290</v>
      </c>
      <c r="G25" s="6173" t="s">
        <v>2291</v>
      </c>
      <c r="H25" s="6173" t="s">
        <v>28</v>
      </c>
      <c r="I25" s="6173" t="s">
        <v>897</v>
      </c>
    </row>
    <row customHeight="1" ht="11.25">
      <c r="A26" s="6173" t="s">
        <v>2253</v>
      </c>
      <c r="B26" s="6173" t="s">
        <v>16</v>
      </c>
      <c r="C26" s="6173" t="s">
        <v>28</v>
      </c>
      <c r="D26" s="6173" t="s">
        <v>2292</v>
      </c>
      <c r="E26" s="6173" t="s">
        <v>2293</v>
      </c>
      <c r="F26" s="6173" t="s">
        <v>53</v>
      </c>
      <c r="G26" s="6173" t="s">
        <v>28</v>
      </c>
      <c r="H26" s="6173" t="s">
        <v>28</v>
      </c>
      <c r="I26" s="6173" t="s">
        <v>897</v>
      </c>
    </row>
    <row customHeight="1" ht="11.25">
      <c r="A27" s="6173" t="s">
        <v>2253</v>
      </c>
      <c r="B27" s="6173" t="s">
        <v>16</v>
      </c>
      <c r="C27" s="6173" t="s">
        <v>2298</v>
      </c>
      <c r="D27" s="6173" t="s">
        <v>2299</v>
      </c>
      <c r="E27" s="6173" t="s">
        <v>2296</v>
      </c>
      <c r="F27" s="6173" t="s">
        <v>2300</v>
      </c>
      <c r="G27" s="6173" t="s">
        <v>2301</v>
      </c>
      <c r="H27" s="6173" t="s">
        <v>28</v>
      </c>
      <c r="I27" s="6173" t="s">
        <v>897</v>
      </c>
    </row>
    <row customHeight="1" ht="11.25">
      <c r="A28" s="6173" t="s">
        <v>2253</v>
      </c>
      <c r="B28" s="6173" t="s">
        <v>16</v>
      </c>
      <c r="C28" s="6173" t="s">
        <v>2254</v>
      </c>
      <c r="D28" s="6173" t="s">
        <v>2255</v>
      </c>
      <c r="E28" s="6173" t="s">
        <v>2256</v>
      </c>
      <c r="F28" s="6173" t="s">
        <v>2257</v>
      </c>
      <c r="G28" s="6173" t="s">
        <v>28</v>
      </c>
      <c r="H28" s="6173" t="s">
        <v>28</v>
      </c>
      <c r="I28" s="6173" t="s">
        <v>857</v>
      </c>
    </row>
    <row customHeight="1" ht="11.25">
      <c r="A29" s="6173" t="s">
        <v>2253</v>
      </c>
      <c r="B29" s="6173" t="s">
        <v>16</v>
      </c>
      <c r="C29" s="6173" t="s">
        <v>2261</v>
      </c>
      <c r="D29" s="6173" t="s">
        <v>2262</v>
      </c>
      <c r="E29" s="6173" t="s">
        <v>2263</v>
      </c>
      <c r="F29" s="6173" t="s">
        <v>53</v>
      </c>
      <c r="G29" s="6173" t="s">
        <v>28</v>
      </c>
      <c r="H29" s="6173" t="s">
        <v>28</v>
      </c>
      <c r="I29" s="6173" t="s">
        <v>857</v>
      </c>
    </row>
    <row customHeight="1" ht="11.25">
      <c r="A30" s="6173" t="s">
        <v>2253</v>
      </c>
      <c r="B30" s="6173" t="s">
        <v>16</v>
      </c>
      <c r="C30" s="6173" t="s">
        <v>2264</v>
      </c>
      <c r="D30" s="6173" t="s">
        <v>2265</v>
      </c>
      <c r="E30" s="6173" t="s">
        <v>2266</v>
      </c>
      <c r="F30" s="6173" t="s">
        <v>53</v>
      </c>
      <c r="G30" s="6173" t="s">
        <v>28</v>
      </c>
      <c r="H30" s="6173" t="s">
        <v>28</v>
      </c>
      <c r="I30" s="6173" t="s">
        <v>857</v>
      </c>
    </row>
    <row customHeight="1" ht="11.25">
      <c r="A31" s="6173" t="s">
        <v>2253</v>
      </c>
      <c r="B31" s="6173" t="s">
        <v>16</v>
      </c>
      <c r="C31" s="6173" t="s">
        <v>2302</v>
      </c>
      <c r="D31" s="6173" t="s">
        <v>2303</v>
      </c>
      <c r="E31" s="6173" t="s">
        <v>2304</v>
      </c>
      <c r="F31" s="6173" t="s">
        <v>53</v>
      </c>
      <c r="G31" s="6173" t="s">
        <v>28</v>
      </c>
      <c r="H31" s="6173" t="s">
        <v>28</v>
      </c>
      <c r="I31" s="6173" t="s">
        <v>857</v>
      </c>
    </row>
    <row customHeight="1" ht="11.25">
      <c r="A32" s="6173" t="s">
        <v>2253</v>
      </c>
      <c r="B32" s="6173" t="s">
        <v>16</v>
      </c>
      <c r="C32" s="6173" t="s">
        <v>2305</v>
      </c>
      <c r="D32" s="6173" t="s">
        <v>2306</v>
      </c>
      <c r="E32" s="6173" t="s">
        <v>2307</v>
      </c>
      <c r="F32" s="6173" t="s">
        <v>53</v>
      </c>
      <c r="G32" s="6173" t="s">
        <v>2308</v>
      </c>
      <c r="H32" s="6173" t="s">
        <v>28</v>
      </c>
      <c r="I32" s="6173" t="s">
        <v>857</v>
      </c>
    </row>
    <row customHeight="1" ht="11.25">
      <c r="A33" s="6173" t="s">
        <v>2253</v>
      </c>
      <c r="B33" s="6173" t="s">
        <v>16</v>
      </c>
      <c r="C33" s="6173" t="s">
        <v>2309</v>
      </c>
      <c r="D33" s="6173" t="s">
        <v>2310</v>
      </c>
      <c r="E33" s="6173" t="s">
        <v>2311</v>
      </c>
      <c r="F33" s="6173" t="s">
        <v>53</v>
      </c>
      <c r="G33" s="6173" t="s">
        <v>28</v>
      </c>
      <c r="H33" s="6173" t="s">
        <v>28</v>
      </c>
      <c r="I33" s="6173" t="s">
        <v>857</v>
      </c>
    </row>
    <row customHeight="1" ht="11.25">
      <c r="A34" s="6173" t="s">
        <v>2253</v>
      </c>
      <c r="B34" s="6173" t="s">
        <v>16</v>
      </c>
      <c r="C34" s="6173" t="s">
        <v>2312</v>
      </c>
      <c r="D34" s="6173" t="s">
        <v>2313</v>
      </c>
      <c r="E34" s="6173" t="s">
        <v>2314</v>
      </c>
      <c r="F34" s="6173" t="s">
        <v>53</v>
      </c>
      <c r="G34" s="6173" t="s">
        <v>2315</v>
      </c>
      <c r="H34" s="6173" t="s">
        <v>28</v>
      </c>
      <c r="I34" s="6173" t="s">
        <v>857</v>
      </c>
    </row>
    <row customHeight="1" ht="11.25">
      <c r="A35" s="6173" t="s">
        <v>2253</v>
      </c>
      <c r="B35" s="6173" t="s">
        <v>16</v>
      </c>
      <c r="C35" s="6173" t="s">
        <v>2267</v>
      </c>
      <c r="D35" s="6173" t="s">
        <v>2268</v>
      </c>
      <c r="E35" s="6173" t="s">
        <v>2269</v>
      </c>
      <c r="F35" s="6173" t="s">
        <v>53</v>
      </c>
      <c r="G35" s="6173" t="s">
        <v>28</v>
      </c>
      <c r="H35" s="6173" t="s">
        <v>28</v>
      </c>
      <c r="I35" s="6173" t="s">
        <v>857</v>
      </c>
    </row>
    <row customHeight="1" ht="11.25">
      <c r="A36" s="6173" t="s">
        <v>2253</v>
      </c>
      <c r="B36" s="6173" t="s">
        <v>16</v>
      </c>
      <c r="C36" s="6173" t="s">
        <v>2270</v>
      </c>
      <c r="D36" s="6173" t="s">
        <v>2271</v>
      </c>
      <c r="E36" s="6173" t="s">
        <v>2272</v>
      </c>
      <c r="F36" s="6173" t="s">
        <v>53</v>
      </c>
      <c r="G36" s="6173" t="s">
        <v>28</v>
      </c>
      <c r="H36" s="6173" t="s">
        <v>28</v>
      </c>
      <c r="I36" s="6173" t="s">
        <v>857</v>
      </c>
    </row>
    <row customHeight="1" ht="11.25">
      <c r="A37" s="6173" t="s">
        <v>2253</v>
      </c>
      <c r="B37" s="6173" t="s">
        <v>16</v>
      </c>
      <c r="C37" s="6173" t="s">
        <v>13</v>
      </c>
      <c r="D37" s="6173" t="s">
        <v>48</v>
      </c>
      <c r="E37" s="6173" t="s">
        <v>51</v>
      </c>
      <c r="F37" s="6173" t="s">
        <v>53</v>
      </c>
      <c r="G37" s="6173" t="s">
        <v>28</v>
      </c>
      <c r="H37" s="6173" t="s">
        <v>28</v>
      </c>
      <c r="I37" s="6173" t="s">
        <v>857</v>
      </c>
    </row>
    <row customHeight="1" ht="11.25">
      <c r="A38" s="6173" t="s">
        <v>2253</v>
      </c>
      <c r="B38" s="6173" t="s">
        <v>16</v>
      </c>
      <c r="C38" s="6173" t="s">
        <v>2277</v>
      </c>
      <c r="D38" s="6173" t="s">
        <v>2278</v>
      </c>
      <c r="E38" s="6173" t="s">
        <v>2279</v>
      </c>
      <c r="F38" s="6173" t="s">
        <v>2280</v>
      </c>
      <c r="G38" s="6173" t="s">
        <v>28</v>
      </c>
      <c r="H38" s="6173" t="s">
        <v>28</v>
      </c>
      <c r="I38" s="6173" t="s">
        <v>857</v>
      </c>
    </row>
    <row customHeight="1" ht="11.25">
      <c r="A39" s="6173" t="s">
        <v>2253</v>
      </c>
      <c r="B39" s="6173" t="s">
        <v>16</v>
      </c>
      <c r="C39" s="6173" t="s">
        <v>2285</v>
      </c>
      <c r="D39" s="6173" t="s">
        <v>2286</v>
      </c>
      <c r="E39" s="6173" t="s">
        <v>2287</v>
      </c>
      <c r="F39" s="6173" t="s">
        <v>53</v>
      </c>
      <c r="G39" s="6173" t="s">
        <v>28</v>
      </c>
      <c r="H39" s="6173" t="s">
        <v>28</v>
      </c>
      <c r="I39" s="6173" t="s">
        <v>857</v>
      </c>
    </row>
    <row customHeight="1" ht="11.25">
      <c r="A40" s="6173" t="s">
        <v>2253</v>
      </c>
      <c r="B40" s="6173" t="s">
        <v>16</v>
      </c>
      <c r="C40" s="6173" t="s">
        <v>2288</v>
      </c>
      <c r="D40" s="6173" t="s">
        <v>2289</v>
      </c>
      <c r="E40" s="6173" t="s">
        <v>2256</v>
      </c>
      <c r="F40" s="6173" t="s">
        <v>2290</v>
      </c>
      <c r="G40" s="6173" t="s">
        <v>2291</v>
      </c>
      <c r="H40" s="6173" t="s">
        <v>28</v>
      </c>
      <c r="I40" s="6173" t="s">
        <v>857</v>
      </c>
    </row>
    <row customHeight="1" ht="11.25">
      <c r="A41" s="6173" t="s">
        <v>2253</v>
      </c>
      <c r="B41" s="6173" t="s">
        <v>16</v>
      </c>
      <c r="C41" s="6173" t="s">
        <v>28</v>
      </c>
      <c r="D41" s="6173" t="s">
        <v>2292</v>
      </c>
      <c r="E41" s="6173" t="s">
        <v>2293</v>
      </c>
      <c r="F41" s="6173" t="s">
        <v>53</v>
      </c>
      <c r="G41" s="6173" t="s">
        <v>28</v>
      </c>
      <c r="H41" s="6173" t="s">
        <v>28</v>
      </c>
      <c r="I41" s="6173" t="s">
        <v>857</v>
      </c>
    </row>
    <row customHeight="1" ht="11.25">
      <c r="A42" s="6173" t="s">
        <v>2253</v>
      </c>
      <c r="B42" s="6173" t="s">
        <v>16</v>
      </c>
      <c r="C42" s="6173" t="s">
        <v>2294</v>
      </c>
      <c r="D42" s="6173" t="s">
        <v>2295</v>
      </c>
      <c r="E42" s="6173" t="s">
        <v>2296</v>
      </c>
      <c r="F42" s="6173" t="s">
        <v>2297</v>
      </c>
      <c r="G42" s="6173" t="s">
        <v>28</v>
      </c>
      <c r="H42" s="6173" t="s">
        <v>28</v>
      </c>
      <c r="I42" s="6173" t="s">
        <v>857</v>
      </c>
    </row>
    <row customHeight="1" ht="11.25">
      <c r="A43" s="6173" t="s">
        <v>2253</v>
      </c>
      <c r="B43" s="6173" t="s">
        <v>16</v>
      </c>
      <c r="C43" s="6173" t="s">
        <v>2298</v>
      </c>
      <c r="D43" s="6173" t="s">
        <v>2299</v>
      </c>
      <c r="E43" s="6173" t="s">
        <v>2296</v>
      </c>
      <c r="F43" s="6173" t="s">
        <v>2300</v>
      </c>
      <c r="G43" s="6173" t="s">
        <v>2301</v>
      </c>
      <c r="H43" s="6173" t="s">
        <v>28</v>
      </c>
      <c r="I43" s="6173" t="s">
        <v>857</v>
      </c>
    </row>
    <row customHeight="1" ht="11.25">
      <c r="A44" s="6173" t="s">
        <v>2253</v>
      </c>
      <c r="B44" s="6173" t="s">
        <v>16</v>
      </c>
      <c r="C44" s="6173" t="s">
        <v>2254</v>
      </c>
      <c r="D44" s="6173" t="s">
        <v>2255</v>
      </c>
      <c r="E44" s="6173" t="s">
        <v>2256</v>
      </c>
      <c r="F44" s="6173" t="s">
        <v>2257</v>
      </c>
      <c r="G44" s="6173" t="s">
        <v>28</v>
      </c>
      <c r="H44" s="6173" t="s">
        <v>28</v>
      </c>
      <c r="I44" s="6173" t="s">
        <v>910</v>
      </c>
    </row>
    <row customHeight="1" ht="11.25">
      <c r="A45" s="6173" t="s">
        <v>2253</v>
      </c>
      <c r="B45" s="6173" t="s">
        <v>16</v>
      </c>
      <c r="C45" s="6173" t="s">
        <v>2312</v>
      </c>
      <c r="D45" s="6173" t="s">
        <v>2313</v>
      </c>
      <c r="E45" s="6173" t="s">
        <v>2314</v>
      </c>
      <c r="F45" s="6173" t="s">
        <v>53</v>
      </c>
      <c r="G45" s="6173" t="s">
        <v>2315</v>
      </c>
      <c r="H45" s="6173" t="s">
        <v>28</v>
      </c>
      <c r="I45" s="6173" t="s">
        <v>910</v>
      </c>
    </row>
    <row customHeight="1" ht="11.25">
      <c r="A46" s="6173" t="s">
        <v>2253</v>
      </c>
      <c r="B46" s="6173" t="s">
        <v>16</v>
      </c>
      <c r="C46" s="6173" t="s">
        <v>2267</v>
      </c>
      <c r="D46" s="6173" t="s">
        <v>2268</v>
      </c>
      <c r="E46" s="6173" t="s">
        <v>2269</v>
      </c>
      <c r="F46" s="6173" t="s">
        <v>53</v>
      </c>
      <c r="G46" s="6173" t="s">
        <v>28</v>
      </c>
      <c r="H46" s="6173" t="s">
        <v>28</v>
      </c>
      <c r="I46" s="6173" t="s">
        <v>910</v>
      </c>
    </row>
    <row customHeight="1" ht="11.25">
      <c r="A47" s="6173" t="s">
        <v>2253</v>
      </c>
      <c r="B47" s="6173" t="s">
        <v>16</v>
      </c>
      <c r="C47" s="6173" t="s">
        <v>13</v>
      </c>
      <c r="D47" s="6173" t="s">
        <v>48</v>
      </c>
      <c r="E47" s="6173" t="s">
        <v>51</v>
      </c>
      <c r="F47" s="6173" t="s">
        <v>53</v>
      </c>
      <c r="G47" s="6173" t="s">
        <v>28</v>
      </c>
      <c r="H47" s="6173" t="s">
        <v>28</v>
      </c>
      <c r="I47" s="6173" t="s">
        <v>910</v>
      </c>
    </row>
    <row customHeight="1" ht="11.25">
      <c r="A48" s="6173" t="s">
        <v>2253</v>
      </c>
      <c r="B48" s="6173" t="s">
        <v>16</v>
      </c>
      <c r="C48" s="6173" t="s">
        <v>2277</v>
      </c>
      <c r="D48" s="6173" t="s">
        <v>2278</v>
      </c>
      <c r="E48" s="6173" t="s">
        <v>2279</v>
      </c>
      <c r="F48" s="6173" t="s">
        <v>2280</v>
      </c>
      <c r="G48" s="6173" t="s">
        <v>28</v>
      </c>
      <c r="H48" s="6173" t="s">
        <v>28</v>
      </c>
      <c r="I48" s="6173" t="s">
        <v>910</v>
      </c>
    </row>
    <row customHeight="1" ht="11.25">
      <c r="A49" s="6173" t="s">
        <v>2253</v>
      </c>
      <c r="B49" s="6173" t="s">
        <v>16</v>
      </c>
      <c r="C49" s="6173" t="s">
        <v>2288</v>
      </c>
      <c r="D49" s="6173" t="s">
        <v>2289</v>
      </c>
      <c r="E49" s="6173" t="s">
        <v>2256</v>
      </c>
      <c r="F49" s="6173" t="s">
        <v>2290</v>
      </c>
      <c r="G49" s="6173" t="s">
        <v>2291</v>
      </c>
      <c r="H49" s="6173" t="s">
        <v>28</v>
      </c>
      <c r="I49" s="6173" t="s">
        <v>910</v>
      </c>
    </row>
    <row customHeight="1" ht="11.25">
      <c r="A50" s="6173" t="s">
        <v>2253</v>
      </c>
      <c r="B50" s="6173" t="s">
        <v>16</v>
      </c>
      <c r="C50" s="6173" t="s">
        <v>28</v>
      </c>
      <c r="D50" s="6173" t="s">
        <v>2292</v>
      </c>
      <c r="E50" s="6173" t="s">
        <v>2293</v>
      </c>
      <c r="F50" s="6173" t="s">
        <v>53</v>
      </c>
      <c r="G50" s="6173" t="s">
        <v>28</v>
      </c>
      <c r="H50" s="6173" t="s">
        <v>28</v>
      </c>
      <c r="I50" s="6173" t="s">
        <v>910</v>
      </c>
    </row>
    <row customHeight="1" ht="11.25">
      <c r="A51" s="6173" t="s">
        <v>2253</v>
      </c>
      <c r="B51" s="6173" t="s">
        <v>16</v>
      </c>
      <c r="C51" s="6173" t="s">
        <v>2316</v>
      </c>
      <c r="D51" s="6173" t="s">
        <v>2317</v>
      </c>
      <c r="E51" s="6173" t="s">
        <v>2318</v>
      </c>
      <c r="F51" s="6173" t="s">
        <v>2319</v>
      </c>
      <c r="G51" s="6173" t="s">
        <v>28</v>
      </c>
      <c r="H51" s="6173" t="s">
        <v>28</v>
      </c>
      <c r="I51" s="6173" t="s">
        <v>1626</v>
      </c>
    </row>
    <row customHeight="1" ht="11.25">
      <c r="A52" s="6173" t="s">
        <v>2253</v>
      </c>
      <c r="B52" s="6173" t="s">
        <v>16</v>
      </c>
      <c r="C52" s="6173" t="s">
        <v>2320</v>
      </c>
      <c r="D52" s="6173" t="s">
        <v>2321</v>
      </c>
      <c r="E52" s="6173" t="s">
        <v>2322</v>
      </c>
      <c r="F52" s="6173" t="s">
        <v>579</v>
      </c>
      <c r="G52" s="6173" t="s">
        <v>2323</v>
      </c>
      <c r="H52" s="6173" t="s">
        <v>28</v>
      </c>
      <c r="I52" s="6173" t="s">
        <v>1626</v>
      </c>
    </row>
    <row customHeight="1" ht="11.25">
      <c r="A53" s="6173" t="s">
        <v>2253</v>
      </c>
      <c r="B53" s="6173" t="s">
        <v>16</v>
      </c>
      <c r="C53" s="6173" t="s">
        <v>2267</v>
      </c>
      <c r="D53" s="6173" t="s">
        <v>2268</v>
      </c>
      <c r="E53" s="6173" t="s">
        <v>2269</v>
      </c>
      <c r="F53" s="6173" t="s">
        <v>53</v>
      </c>
      <c r="G53" s="6173" t="s">
        <v>28</v>
      </c>
      <c r="H53" s="6173" t="s">
        <v>28</v>
      </c>
      <c r="I53" s="6173" t="s">
        <v>1626</v>
      </c>
    </row>
    <row customHeight="1" ht="11.25">
      <c r="A54" s="6173" t="s">
        <v>2253</v>
      </c>
      <c r="B54" s="6173" t="s">
        <v>16</v>
      </c>
      <c r="C54" s="6173" t="s">
        <v>2324</v>
      </c>
      <c r="D54" s="6173" t="s">
        <v>2325</v>
      </c>
      <c r="E54" s="6173" t="s">
        <v>2326</v>
      </c>
      <c r="F54" s="6173" t="s">
        <v>53</v>
      </c>
      <c r="G54" s="6173" t="s">
        <v>2327</v>
      </c>
      <c r="H54" s="6173" t="s">
        <v>28</v>
      </c>
      <c r="I54" s="6173" t="s">
        <v>1626</v>
      </c>
    </row>
    <row customHeight="1" ht="11.25">
      <c r="A55" s="6173" t="s">
        <v>2253</v>
      </c>
      <c r="B55" s="6173" t="s">
        <v>16</v>
      </c>
      <c r="C55" s="6173" t="s">
        <v>2328</v>
      </c>
      <c r="D55" s="6173" t="s">
        <v>2329</v>
      </c>
      <c r="E55" s="6173" t="s">
        <v>2330</v>
      </c>
      <c r="F55" s="6173" t="s">
        <v>53</v>
      </c>
      <c r="G55" s="6173" t="s">
        <v>28</v>
      </c>
      <c r="H55" s="6173" t="s">
        <v>28</v>
      </c>
      <c r="I55" s="6173" t="s">
        <v>1626</v>
      </c>
    </row>
    <row customHeight="1" ht="11.25">
      <c r="A56" s="6173" t="s">
        <v>2253</v>
      </c>
      <c r="B56" s="6173" t="s">
        <v>16</v>
      </c>
      <c r="C56" s="6173" t="s">
        <v>28</v>
      </c>
      <c r="D56" s="6173" t="s">
        <v>2292</v>
      </c>
      <c r="E56" s="6173" t="s">
        <v>2293</v>
      </c>
      <c r="F56" s="6173" t="s">
        <v>53</v>
      </c>
      <c r="G56" s="6173" t="s">
        <v>28</v>
      </c>
      <c r="H56" s="6173" t="s">
        <v>28</v>
      </c>
      <c r="I56" s="6173"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4F594-498B-8E36-6D86-0.01DBE606}" mc:Ignorable="x14ac xr xr2 xr3">
  <sheetPr>
    <tabColor rgb="FFFFCC99"/>
  </sheetPr>
  <dimension ref="A1:G23"/>
  <sheetViews>
    <sheetView topLeftCell="A1" showGridLines="0" workbookViewId="0">
      <selection activeCell="A1" sqref="A1"/>
    </sheetView>
  </sheetViews>
  <sheetFormatPr customHeight="1" defaultRowHeight="11.25"/>
  <cols>
    <col min="1" max="1" style="6188" width="9.140625"/>
  </cols>
  <sheetData>
    <row customHeight="1" ht="11.25">
      <c r="A1" s="437" t="s">
        <v>2331</v>
      </c>
      <c r="B1" s="126" t="s">
        <v>2332</v>
      </c>
      <c r="C1" s="126" t="s">
        <v>2333</v>
      </c>
      <c r="D1" s="126" t="s">
        <v>2334</v>
      </c>
      <c r="E1" s="64" t="s">
        <v>2335</v>
      </c>
      <c r="F1" s="64" t="s">
        <v>2336</v>
      </c>
      <c r="G1" s="64" t="s">
        <v>2337</v>
      </c>
    </row>
    <row customHeight="1" ht="11.25">
      <c r="A2" s="437" t="s">
        <v>16</v>
      </c>
      <c r="B2" s="0" t="s">
        <v>2338</v>
      </c>
      <c r="C2" s="0" t="s">
        <v>2339</v>
      </c>
      <c r="D2" s="0" t="s">
        <v>2338</v>
      </c>
      <c r="E2" s="0" t="s">
        <v>2339</v>
      </c>
      <c r="F2" s="0" t="s">
        <v>2340</v>
      </c>
      <c r="G2" s="0" t="s">
        <v>110</v>
      </c>
    </row>
    <row customHeight="1" ht="11.25">
      <c r="A3" s="437" t="s">
        <v>16</v>
      </c>
      <c r="B3" s="0" t="s">
        <v>2338</v>
      </c>
      <c r="C3" s="0" t="s">
        <v>2339</v>
      </c>
      <c r="D3" s="0" t="s">
        <v>2341</v>
      </c>
      <c r="E3" s="0" t="s">
        <v>2342</v>
      </c>
      <c r="F3" s="0" t="s">
        <v>2343</v>
      </c>
      <c r="G3" s="0" t="s">
        <v>111</v>
      </c>
    </row>
    <row customHeight="1" ht="11.25">
      <c r="A4" s="437" t="s">
        <v>16</v>
      </c>
      <c r="B4" s="0" t="s">
        <v>2338</v>
      </c>
      <c r="C4" s="0" t="s">
        <v>2339</v>
      </c>
      <c r="D4" s="0" t="s">
        <v>2344</v>
      </c>
      <c r="E4" s="0" t="s">
        <v>2345</v>
      </c>
      <c r="F4" s="0" t="s">
        <v>2343</v>
      </c>
      <c r="G4" s="0" t="s">
        <v>91</v>
      </c>
    </row>
    <row customHeight="1" ht="11.25">
      <c r="A5" s="437" t="s">
        <v>16</v>
      </c>
      <c r="B5" s="0" t="s">
        <v>2338</v>
      </c>
      <c r="C5" s="0" t="s">
        <v>2339</v>
      </c>
      <c r="D5" s="0" t="s">
        <v>2346</v>
      </c>
      <c r="E5" s="0" t="s">
        <v>2347</v>
      </c>
      <c r="F5" s="0" t="s">
        <v>2343</v>
      </c>
      <c r="G5" s="0" t="s">
        <v>92</v>
      </c>
    </row>
    <row customHeight="1" ht="11.25">
      <c r="A6" s="437" t="s">
        <v>16</v>
      </c>
      <c r="B6" s="0" t="s">
        <v>2338</v>
      </c>
      <c r="C6" s="0" t="s">
        <v>2339</v>
      </c>
      <c r="D6" s="0" t="s">
        <v>2348</v>
      </c>
      <c r="E6" s="0" t="s">
        <v>2349</v>
      </c>
      <c r="F6" s="0" t="s">
        <v>2343</v>
      </c>
      <c r="G6" s="0" t="s">
        <v>112</v>
      </c>
    </row>
    <row customHeight="1" ht="11.25">
      <c r="A7" s="437" t="s">
        <v>16</v>
      </c>
      <c r="B7" s="0" t="s">
        <v>2338</v>
      </c>
      <c r="C7" s="0" t="s">
        <v>2339</v>
      </c>
      <c r="D7" s="0" t="s">
        <v>2350</v>
      </c>
      <c r="E7" s="0" t="s">
        <v>2351</v>
      </c>
      <c r="F7" s="0" t="s">
        <v>2343</v>
      </c>
      <c r="G7" s="0" t="s">
        <v>93</v>
      </c>
    </row>
    <row customHeight="1" ht="11.25">
      <c r="A8" s="437" t="s">
        <v>16</v>
      </c>
      <c r="B8" s="0" t="s">
        <v>2338</v>
      </c>
      <c r="C8" s="0" t="s">
        <v>2339</v>
      </c>
      <c r="D8" s="0" t="s">
        <v>2352</v>
      </c>
      <c r="E8" s="0" t="s">
        <v>2353</v>
      </c>
      <c r="F8" s="0" t="s">
        <v>2343</v>
      </c>
      <c r="G8" s="0" t="s">
        <v>94</v>
      </c>
    </row>
    <row customHeight="1" ht="11.25">
      <c r="A9" s="437" t="s">
        <v>16</v>
      </c>
      <c r="B9" s="0" t="s">
        <v>2338</v>
      </c>
      <c r="C9" s="0" t="s">
        <v>2339</v>
      </c>
      <c r="D9" s="0" t="s">
        <v>2354</v>
      </c>
      <c r="E9" s="0" t="s">
        <v>2355</v>
      </c>
      <c r="F9" s="0" t="s">
        <v>2343</v>
      </c>
      <c r="G9" s="0" t="s">
        <v>113</v>
      </c>
    </row>
    <row customHeight="1" ht="11.25">
      <c r="A10" s="437" t="s">
        <v>16</v>
      </c>
      <c r="B10" s="0" t="s">
        <v>2338</v>
      </c>
      <c r="C10" s="0" t="s">
        <v>2339</v>
      </c>
      <c r="D10" s="0" t="s">
        <v>2356</v>
      </c>
      <c r="E10" s="0" t="s">
        <v>2357</v>
      </c>
      <c r="F10" s="0" t="s">
        <v>2358</v>
      </c>
      <c r="G10" s="0" t="s">
        <v>149</v>
      </c>
    </row>
    <row customHeight="1" ht="11.25">
      <c r="A11" s="437" t="s">
        <v>16</v>
      </c>
      <c r="B11" s="0" t="s">
        <v>2338</v>
      </c>
      <c r="C11" s="0" t="s">
        <v>2339</v>
      </c>
      <c r="D11" s="0" t="s">
        <v>2359</v>
      </c>
      <c r="E11" s="0" t="s">
        <v>2360</v>
      </c>
      <c r="F11" s="0" t="s">
        <v>2343</v>
      </c>
      <c r="G11" s="0" t="s">
        <v>150</v>
      </c>
    </row>
    <row customHeight="1" ht="11.25">
      <c r="A12" s="437" t="s">
        <v>16</v>
      </c>
      <c r="B12" s="0" t="s">
        <v>2338</v>
      </c>
      <c r="C12" s="0" t="s">
        <v>2339</v>
      </c>
      <c r="D12" s="0" t="s">
        <v>2361</v>
      </c>
      <c r="E12" s="0" t="s">
        <v>2362</v>
      </c>
      <c r="F12" s="0" t="s">
        <v>2343</v>
      </c>
      <c r="G12" s="0" t="s">
        <v>151</v>
      </c>
    </row>
    <row customHeight="1" ht="11.25">
      <c r="A13" s="437" t="s">
        <v>16</v>
      </c>
      <c r="B13" s="0" t="s">
        <v>2338</v>
      </c>
      <c r="C13" s="0" t="s">
        <v>2339</v>
      </c>
      <c r="D13" s="0" t="s">
        <v>2363</v>
      </c>
      <c r="E13" s="0" t="s">
        <v>2364</v>
      </c>
      <c r="F13" s="0" t="s">
        <v>2343</v>
      </c>
      <c r="G13" s="0" t="s">
        <v>152</v>
      </c>
    </row>
    <row customHeight="1" ht="11.25">
      <c r="A14" s="437" t="s">
        <v>16</v>
      </c>
      <c r="B14" s="0" t="s">
        <v>2338</v>
      </c>
      <c r="C14" s="0" t="s">
        <v>2339</v>
      </c>
      <c r="D14" s="0" t="s">
        <v>2365</v>
      </c>
      <c r="E14" s="0" t="s">
        <v>2366</v>
      </c>
      <c r="F14" s="0" t="s">
        <v>2343</v>
      </c>
      <c r="G14" s="0" t="s">
        <v>153</v>
      </c>
    </row>
    <row customHeight="1" ht="11.25">
      <c r="A15" s="437" t="s">
        <v>16</v>
      </c>
      <c r="B15" s="0" t="s">
        <v>2338</v>
      </c>
      <c r="C15" s="0" t="s">
        <v>2339</v>
      </c>
      <c r="D15" s="0" t="s">
        <v>2367</v>
      </c>
      <c r="E15" s="0" t="s">
        <v>2368</v>
      </c>
      <c r="F15" s="0" t="s">
        <v>2343</v>
      </c>
      <c r="G15" s="0" t="s">
        <v>154</v>
      </c>
    </row>
    <row customHeight="1" ht="11.25">
      <c r="A16" s="437" t="s">
        <v>16</v>
      </c>
      <c r="B16" s="0" t="s">
        <v>2338</v>
      </c>
      <c r="C16" s="0" t="s">
        <v>2339</v>
      </c>
      <c r="D16" s="0" t="s">
        <v>2369</v>
      </c>
      <c r="E16" s="0" t="s">
        <v>2370</v>
      </c>
      <c r="F16" s="0" t="s">
        <v>2371</v>
      </c>
      <c r="G16" s="0" t="s">
        <v>1472</v>
      </c>
    </row>
    <row customHeight="1" ht="11.25">
      <c r="A17" s="437" t="s">
        <v>16</v>
      </c>
      <c r="B17" s="0" t="s">
        <v>2338</v>
      </c>
      <c r="C17" s="0" t="s">
        <v>2339</v>
      </c>
      <c r="D17" s="0" t="s">
        <v>2372</v>
      </c>
      <c r="E17" s="0" t="s">
        <v>2373</v>
      </c>
      <c r="F17" s="0" t="s">
        <v>2343</v>
      </c>
      <c r="G17" s="0" t="s">
        <v>1478</v>
      </c>
    </row>
    <row customHeight="1" ht="11.25">
      <c r="A18" s="437" t="s">
        <v>16</v>
      </c>
      <c r="B18" s="0" t="s">
        <v>2338</v>
      </c>
      <c r="C18" s="0" t="s">
        <v>2339</v>
      </c>
      <c r="D18" s="0" t="s">
        <v>2374</v>
      </c>
      <c r="E18" s="0" t="s">
        <v>2375</v>
      </c>
      <c r="F18" s="0" t="s">
        <v>2343</v>
      </c>
      <c r="G18" s="0" t="s">
        <v>1490</v>
      </c>
    </row>
    <row customHeight="1" ht="11.25">
      <c r="A19" s="437" t="s">
        <v>16</v>
      </c>
      <c r="B19" s="0" t="s">
        <v>2338</v>
      </c>
      <c r="C19" s="0" t="s">
        <v>2339</v>
      </c>
      <c r="D19" s="0" t="s">
        <v>2376</v>
      </c>
      <c r="E19" s="0" t="s">
        <v>2377</v>
      </c>
      <c r="F19" s="0" t="s">
        <v>2343</v>
      </c>
      <c r="G19" s="0" t="s">
        <v>1504</v>
      </c>
    </row>
    <row customHeight="1" ht="11.25">
      <c r="A20" s="437" t="s">
        <v>16</v>
      </c>
      <c r="B20" s="0" t="s">
        <v>2338</v>
      </c>
      <c r="C20" s="0" t="s">
        <v>2339</v>
      </c>
      <c r="D20" s="0" t="s">
        <v>2378</v>
      </c>
      <c r="E20" s="0" t="s">
        <v>2379</v>
      </c>
      <c r="F20" s="0" t="s">
        <v>2343</v>
      </c>
      <c r="G20" s="0" t="s">
        <v>1516</v>
      </c>
    </row>
    <row customHeight="1" ht="11.25">
      <c r="A21" s="437" t="s">
        <v>16</v>
      </c>
      <c r="B21" s="0" t="s">
        <v>2338</v>
      </c>
      <c r="C21" s="0" t="s">
        <v>2339</v>
      </c>
      <c r="D21" s="0" t="s">
        <v>2380</v>
      </c>
      <c r="E21" s="0" t="s">
        <v>2381</v>
      </c>
      <c r="F21" s="0" t="s">
        <v>2343</v>
      </c>
      <c r="G21" s="0" t="s">
        <v>1525</v>
      </c>
    </row>
    <row customHeight="1" ht="11.25">
      <c r="A22" s="437" t="s">
        <v>16</v>
      </c>
      <c r="B22" s="0" t="s">
        <v>2338</v>
      </c>
      <c r="C22" s="0" t="s">
        <v>2339</v>
      </c>
      <c r="D22" s="0" t="s">
        <v>2382</v>
      </c>
      <c r="E22" s="0" t="s">
        <v>2383</v>
      </c>
      <c r="F22" s="0" t="s">
        <v>2343</v>
      </c>
      <c r="G22" s="0" t="s">
        <v>1541</v>
      </c>
    </row>
    <row customHeight="1" ht="11.25">
      <c r="A23" s="437" t="s">
        <v>16</v>
      </c>
      <c r="B23" s="0" t="s">
        <v>101</v>
      </c>
      <c r="C23" s="0" t="s">
        <v>102</v>
      </c>
      <c r="D23" s="0" t="s">
        <v>101</v>
      </c>
      <c r="E23" s="0" t="s">
        <v>102</v>
      </c>
      <c r="F23" s="0" t="s">
        <v>2384</v>
      </c>
      <c r="G23" s="0" t="s">
        <v>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16BA7-08A7-1C18-D948-0.9EAD643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6184" width="13.8515625" customWidth="1"/>
    <col min="2" max="2" style="6184" width="10.421875" customWidth="1"/>
    <col min="3" max="3" style="6184" width="7.57421875" customWidth="1"/>
    <col min="4" max="4" style="6184" width="13.8515625" customWidth="1"/>
    <col min="5" max="5" style="6184" width="11.57421875" customWidth="1"/>
    <col min="6" max="6" style="6184" width="16.28125" customWidth="1"/>
    <col min="7" max="7" style="6184" width="16.00390625" customWidth="1"/>
    <col min="8" max="9" style="6184" width="16.140625" customWidth="1"/>
  </cols>
  <sheetData>
    <row customHeight="1" ht="11.25">
      <c r="A1" s="899" t="s">
        <v>2385</v>
      </c>
      <c r="B1" s="899" t="s">
        <v>2386</v>
      </c>
      <c r="C1" s="1223" t="s">
        <v>2387</v>
      </c>
      <c r="D1" s="899" t="s">
        <v>2388</v>
      </c>
      <c r="E1" s="899" t="s">
        <v>2389</v>
      </c>
      <c r="F1" s="1223" t="s">
        <v>2390</v>
      </c>
      <c r="G1" s="1223" t="s">
        <v>2391</v>
      </c>
      <c r="H1" s="1223" t="s">
        <v>2392</v>
      </c>
      <c r="I1" s="1223" t="s">
        <v>2393</v>
      </c>
    </row>
    <row customHeight="1" ht="11.25">
      <c r="A2" s="6175" t="s">
        <v>110</v>
      </c>
      <c r="B2" s="6175" t="s">
        <v>2394</v>
      </c>
      <c r="C2" s="6175" t="s">
        <v>28</v>
      </c>
      <c r="D2" s="6175" t="s">
        <v>2395</v>
      </c>
      <c r="E2" s="6175" t="s">
        <v>2396</v>
      </c>
      <c r="F2" s="6175" t="s">
        <v>28</v>
      </c>
      <c r="G2" s="6175" t="s">
        <v>28</v>
      </c>
      <c r="H2" s="6175" t="s">
        <v>28</v>
      </c>
      <c r="I2" s="6175" t="s">
        <v>28</v>
      </c>
    </row>
    <row customHeight="1" ht="11.25">
      <c r="A3" s="6175" t="s">
        <v>111</v>
      </c>
      <c r="B3" s="6175" t="s">
        <v>2397</v>
      </c>
      <c r="C3" s="6175" t="s">
        <v>28</v>
      </c>
      <c r="D3" s="6175" t="s">
        <v>2398</v>
      </c>
      <c r="E3" s="6175" t="s">
        <v>2396</v>
      </c>
      <c r="F3" s="6175" t="s">
        <v>28</v>
      </c>
      <c r="G3" s="6175" t="s">
        <v>28</v>
      </c>
      <c r="H3" s="6175" t="s">
        <v>28</v>
      </c>
      <c r="I3" s="6175" t="s">
        <v>28</v>
      </c>
    </row>
    <row customHeight="1" ht="11.25">
      <c r="A4" s="6175" t="s">
        <v>91</v>
      </c>
      <c r="B4" s="6175" t="s">
        <v>2399</v>
      </c>
      <c r="C4" s="6175" t="s">
        <v>28</v>
      </c>
      <c r="D4" s="6175" t="s">
        <v>2400</v>
      </c>
      <c r="E4" s="6175" t="s">
        <v>2396</v>
      </c>
      <c r="F4" s="6175" t="s">
        <v>28</v>
      </c>
      <c r="G4" s="6175" t="s">
        <v>28</v>
      </c>
      <c r="H4" s="6175" t="s">
        <v>28</v>
      </c>
      <c r="I4" s="6175" t="s">
        <v>28</v>
      </c>
    </row>
    <row customHeight="1" ht="11.25">
      <c r="A5" s="6175" t="s">
        <v>92</v>
      </c>
      <c r="B5" s="6175" t="s">
        <v>2401</v>
      </c>
      <c r="C5" s="6175" t="s">
        <v>28</v>
      </c>
      <c r="D5" s="6175" t="s">
        <v>2402</v>
      </c>
      <c r="E5" s="6175" t="s">
        <v>2396</v>
      </c>
      <c r="F5" s="6175" t="s">
        <v>28</v>
      </c>
      <c r="G5" s="6175" t="s">
        <v>28</v>
      </c>
      <c r="H5" s="6175" t="s">
        <v>28</v>
      </c>
      <c r="I5" s="6175" t="s">
        <v>28</v>
      </c>
    </row>
    <row customHeight="1" ht="11.25">
      <c r="A6" s="6175" t="s">
        <v>112</v>
      </c>
      <c r="B6" s="6175" t="s">
        <v>2403</v>
      </c>
      <c r="C6" s="6175" t="s">
        <v>28</v>
      </c>
      <c r="D6" s="6175" t="s">
        <v>2404</v>
      </c>
      <c r="E6" s="6175" t="s">
        <v>2405</v>
      </c>
      <c r="F6" s="6175" t="s">
        <v>28</v>
      </c>
      <c r="G6" s="6175" t="s">
        <v>28</v>
      </c>
      <c r="H6" s="6175" t="s">
        <v>28</v>
      </c>
      <c r="I6" s="617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B5805-A81F-227E-9E32-0.27E549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33F9D-CEA2-B687-11C2-0.9794722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712" width="9.140625" hidden="1" customWidth="1"/>
    <col min="2" max="2" style="5468" width="9.140625" hidden="1" customWidth="1"/>
    <col min="3" max="3" style="5763" width="3.00390625" customWidth="1"/>
    <col min="4" max="4" style="5468" width="5.00390625" customWidth="1"/>
    <col min="5" max="5" style="5468" width="48.00390625" customWidth="1"/>
    <col min="6" max="6" style="5468" width="38.00390625" customWidth="1"/>
    <col min="7" max="7" style="5468" width="1.7109375" hidden="1" customWidth="1"/>
    <col min="8" max="11" style="5468" width="19.8515625" hidden="1" customWidth="1"/>
    <col min="12" max="12" style="5468" width="9.7109375" hidden="1" customWidth="1"/>
    <col min="13" max="18" style="5468" width="19.8515625" hidden="1" customWidth="1"/>
    <col min="19" max="19" style="5468" width="1.7109375" hidden="1" customWidth="1"/>
    <col min="20" max="22" style="5468" width="19.8515625" hidden="1" customWidth="1"/>
    <col min="23" max="23" style="5468" width="1.7109375" hidden="1" customWidth="1"/>
    <col min="24" max="26" style="5468" width="19.8515625" hidden="1" customWidth="1"/>
    <col min="27" max="27" style="5468" width="1.7109375" hidden="1" customWidth="1"/>
    <col min="28" max="29" style="5468" width="19.8515625" customWidth="1"/>
    <col min="30" max="30" style="5468" width="1.7109375" hidden="1" customWidth="1"/>
    <col min="31" max="33" style="5468" width="103.7109375" hidden="1" customWidth="1"/>
    <col min="34" max="34" style="5468" width="103.7109375" customWidth="1"/>
    <col min="35" max="35" style="3473" width="3.00390625" customWidth="1"/>
    <col min="36" max="38" style="4976" width="10.00390625" customWidth="1"/>
    <col min="39" max="39" style="4976" width="13.7109375" hidden="1" customWidth="1"/>
    <col min="40" max="40" style="4976" width="15.00390625" customWidth="1"/>
    <col min="41" max="41" style="4976" width="16.00390625" customWidth="1"/>
    <col min="42" max="45" style="4976" width="10.00390625" customWidth="1"/>
    <col min="46" max="46" style="5468" width="10.57421875" hidden="1"/>
  </cols>
  <sheetData>
    <row customHeight="1" ht="22.5" hidden="1">
      <c r="E1" s="476"/>
      <c r="F1" s="476"/>
      <c r="G1" s="476"/>
      <c r="H1" s="2281" t="s">
        <v>356</v>
      </c>
      <c r="I1" s="2281"/>
      <c r="J1" s="2281"/>
      <c r="K1" s="2281"/>
      <c r="L1" s="2281"/>
      <c r="M1" s="2281"/>
      <c r="N1" s="2281"/>
      <c r="O1" s="2281"/>
      <c r="P1" s="2281"/>
      <c r="Q1" s="2281"/>
      <c r="R1" s="2281"/>
      <c r="T1" s="2281" t="s">
        <v>357</v>
      </c>
      <c r="U1" s="2281"/>
      <c r="V1" s="2281"/>
      <c r="X1" s="2281" t="s">
        <v>358</v>
      </c>
      <c r="Y1" s="2281"/>
      <c r="Z1" s="2281"/>
      <c r="AB1" s="2281" t="s">
        <v>359</v>
      </c>
      <c r="AC1" s="2281"/>
      <c r="AT1" s="511" t="s">
        <v>14</v>
      </c>
    </row>
    <row customHeight="1" ht="14.25" hidden="1">
      <c r="AT2" s="511">
        <v>0</v>
      </c>
    </row>
    <row s="3411" customFormat="1" customHeight="1" ht="5.25">
      <c r="C3" s="765"/>
      <c r="D3" s="766"/>
      <c r="E3" s="766"/>
      <c r="F3" s="766"/>
      <c r="G3" s="766"/>
      <c r="H3" s="766" t="s">
        <v>360</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горячее водоснабжение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5468" customFormat="1" customHeight="1" ht="18">
      <c r="A5" s="823"/>
      <c r="C5" s="886"/>
      <c r="D5" s="2278" t="str">
        <f>IF(org=0,"Не определено",org)</f>
        <v>Нарьян-Марское МУ ПОКиТС</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426"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304</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305</v>
      </c>
      <c r="AF7" s="2287" t="s">
        <v>305</v>
      </c>
      <c r="AG7" s="2287" t="s">
        <v>305</v>
      </c>
      <c r="AH7" s="2287" t="s">
        <v>305</v>
      </c>
      <c r="AT7" s="511">
        <v>14</v>
      </c>
    </row>
    <row customHeight="1" ht="27.299999999999997">
      <c r="C8" s="514"/>
      <c r="D8" s="2191" t="s">
        <v>89</v>
      </c>
      <c r="E8" s="2287" t="str">
        <f>"Наименование "&amp;IF(TEMPLATE_SPHERE&lt;&gt;"HEAT","централизованной ","")&amp;"системы "&amp;TEMPLATE_SPHERE_RUS</f>
        <v>Наименование централизованной системы горячего водоснабжения</v>
      </c>
      <c r="F8" s="2287" t="str">
        <f>IF(TEMPLATE_SPHERE&lt;&gt;"HEAT","Регулируемый вид деятельности","Вид регулируемой деятельности")</f>
        <v>Регулируемый вид деятельности</v>
      </c>
      <c r="G8" s="892"/>
      <c r="H8" s="2288" t="s">
        <v>361</v>
      </c>
      <c r="I8" s="2290" t="s">
        <v>362</v>
      </c>
      <c r="J8" s="2287" t="s">
        <v>363</v>
      </c>
      <c r="K8" s="2287"/>
      <c r="L8" s="2287"/>
      <c r="M8" s="2282"/>
      <c r="N8" s="2287" t="s">
        <v>364</v>
      </c>
      <c r="O8" s="2287"/>
      <c r="P8" s="2287" t="s">
        <v>365</v>
      </c>
      <c r="Q8" s="2287"/>
      <c r="R8" s="2294" t="s">
        <v>366</v>
      </c>
      <c r="S8" s="888"/>
      <c r="T8" s="2292" t="s">
        <v>367</v>
      </c>
      <c r="U8" s="2292" t="s">
        <v>368</v>
      </c>
      <c r="V8" s="2292" t="s">
        <v>369</v>
      </c>
      <c r="W8" s="890"/>
      <c r="X8" s="2292" t="s">
        <v>370</v>
      </c>
      <c r="Y8" s="2292" t="s">
        <v>371</v>
      </c>
      <c r="Z8" s="2292" t="s">
        <v>372</v>
      </c>
      <c r="AA8" s="890"/>
      <c r="AB8" s="2292" t="s">
        <v>373</v>
      </c>
      <c r="AC8" s="2292" t="s">
        <v>366</v>
      </c>
      <c r="AD8" s="890"/>
      <c r="AE8" s="2287"/>
      <c r="AF8" s="2287"/>
      <c r="AG8" s="2287"/>
      <c r="AH8" s="2287"/>
      <c r="AT8" s="511">
        <v>26</v>
      </c>
    </row>
    <row customHeight="1" ht="46.199999999999996">
      <c r="C9" s="514"/>
      <c r="D9" s="2191"/>
      <c r="E9" s="2287"/>
      <c r="F9" s="2287"/>
      <c r="G9" s="893"/>
      <c r="H9" s="2289"/>
      <c r="I9" s="2291"/>
      <c r="J9" s="489" t="s">
        <v>374</v>
      </c>
      <c r="K9" s="489" t="s">
        <v>375</v>
      </c>
      <c r="L9" s="489" t="s">
        <v>376</v>
      </c>
      <c r="M9" s="495" t="s">
        <v>377</v>
      </c>
      <c r="N9" s="489" t="s">
        <v>378</v>
      </c>
      <c r="O9" s="489" t="s">
        <v>377</v>
      </c>
      <c r="P9" s="489" t="s">
        <v>379</v>
      </c>
      <c r="Q9" s="489" t="s">
        <v>377</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710" customFormat="1" customHeight="1" ht="11.25" hidden="1">
      <c r="C11" s="562"/>
      <c r="D11" s="563" t="s">
        <v>380</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110</v>
      </c>
      <c r="E12" s="1841" t="s">
        <v>28</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381</v>
      </c>
      <c r="AF12" s="2285" t="s">
        <v>382</v>
      </c>
      <c r="AG12" s="2285" t="s">
        <v>383</v>
      </c>
      <c r="AH12" s="2285" t="s">
        <v>384</v>
      </c>
      <c r="AI12" s="511"/>
      <c r="AM12" s="575"/>
      <c r="AP12" s="564" t="s">
        <v>385</v>
      </c>
      <c r="AQ12" s="564" t="s">
        <v>385</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83</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A812B-E4E1-F516-CB01-0.E9FE43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6176" width="9.140625"/>
  </cols>
  <sheetData>
    <row customHeight="1" ht="11.25">
      <c r="A1" s="247" t="s">
        <v>131</v>
      </c>
      <c r="B1" s="247" t="s">
        <v>2406</v>
      </c>
    </row>
    <row customHeight="1" ht="11.25">
      <c r="A2" s="126" t="s">
        <v>99</v>
      </c>
      <c r="B2" s="126" t="s">
        <v>2407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06F3D-C2B7-C49E-5384-0.0AB9F4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184" width="9.140625"/>
    <col min="2" max="2" style="6184" width="65.28125" customWidth="1"/>
  </cols>
  <sheetData>
    <row customHeight="1" ht="11.25">
      <c r="A1" s="899" t="s">
        <v>2408</v>
      </c>
      <c r="B1" s="899" t="s">
        <v>2409</v>
      </c>
    </row>
    <row customHeight="1" ht="11.25">
      <c r="A2" s="899">
        <v>4213775</v>
      </c>
      <c r="B2" s="899" t="s">
        <v>1229</v>
      </c>
    </row>
    <row customHeight="1" ht="11.25">
      <c r="A3" s="899">
        <v>4213784</v>
      </c>
      <c r="B3" s="899" t="s">
        <v>1264</v>
      </c>
    </row>
    <row customHeight="1" ht="11.25">
      <c r="A4" s="899">
        <v>4213781</v>
      </c>
      <c r="B4" s="899" t="s">
        <v>1257</v>
      </c>
    </row>
    <row customHeight="1" ht="11.25">
      <c r="A5" s="899">
        <v>4213776</v>
      </c>
      <c r="B5" s="899" t="s">
        <v>167</v>
      </c>
    </row>
    <row customHeight="1" ht="11.25">
      <c r="A6" s="899">
        <v>4213777</v>
      </c>
      <c r="B6" s="899" t="s">
        <v>173</v>
      </c>
    </row>
    <row customHeight="1" ht="11.25">
      <c r="A7" s="899">
        <v>4213778</v>
      </c>
      <c r="B7" s="899" t="s">
        <v>179</v>
      </c>
    </row>
    <row customHeight="1" ht="11.25">
      <c r="A8" s="899">
        <v>4213780</v>
      </c>
      <c r="B8" s="899" t="s">
        <v>185</v>
      </c>
    </row>
    <row customHeight="1" ht="11.25">
      <c r="A9" s="899">
        <v>4213779</v>
      </c>
      <c r="B9" s="899" t="s">
        <v>1397</v>
      </c>
    </row>
    <row customHeight="1" ht="11.25">
      <c r="A10" s="899">
        <v>4213783</v>
      </c>
      <c r="B10" s="899" t="s">
        <v>1412</v>
      </c>
    </row>
    <row customHeight="1" ht="11.25">
      <c r="A11" s="899">
        <v>4213782</v>
      </c>
      <c r="B11" s="89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00D2B-5715-9976-EC24-0.C000B26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6184" width="9.140625"/>
    <col min="2" max="2" style="6184" width="65.28125" customWidth="1"/>
  </cols>
  <sheetData>
    <row customHeight="1" ht="11.25">
      <c r="A1" s="899" t="s">
        <v>2408</v>
      </c>
      <c r="B1" s="899" t="s">
        <v>2410</v>
      </c>
    </row>
    <row customHeight="1" ht="11.25">
      <c r="A2" s="899" t="s">
        <v>2411</v>
      </c>
      <c r="B2" s="899" t="s">
        <v>1512</v>
      </c>
    </row>
    <row customHeight="1" ht="11.25">
      <c r="A3" s="899" t="s">
        <v>2412</v>
      </c>
      <c r="B3" s="899" t="s">
        <v>1522</v>
      </c>
    </row>
    <row customHeight="1" ht="11.25">
      <c r="A4" s="899" t="s">
        <v>2413</v>
      </c>
      <c r="B4" s="899"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51954-173E-E14E-A79E-0.11AB4367}"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437" t="s">
        <v>2331</v>
      </c>
      <c r="B1" s="437" t="s">
        <v>2332</v>
      </c>
      <c r="C1" s="437" t="s">
        <v>2333</v>
      </c>
      <c r="D1" s="437" t="s">
        <v>2334</v>
      </c>
      <c r="E1" s="0" t="s">
        <v>2335</v>
      </c>
      <c r="F1" s="0" t="s">
        <v>2336</v>
      </c>
      <c r="G1" s="0" t="s">
        <v>2337</v>
      </c>
    </row>
    <row customHeight="1" ht="11.25">
      <c r="A2" s="0" t="s">
        <v>16</v>
      </c>
      <c r="B2" s="0" t="s">
        <v>2338</v>
      </c>
      <c r="C2" s="0" t="s">
        <v>2339</v>
      </c>
      <c r="D2" s="0" t="s">
        <v>2338</v>
      </c>
      <c r="E2" s="0" t="s">
        <v>2339</v>
      </c>
      <c r="F2" s="0" t="s">
        <v>2340</v>
      </c>
      <c r="G2" s="0" t="s">
        <v>110</v>
      </c>
    </row>
    <row customHeight="1" ht="11.25">
      <c r="A3" s="0" t="s">
        <v>16</v>
      </c>
      <c r="B3" s="0" t="s">
        <v>2338</v>
      </c>
      <c r="C3" s="0" t="s">
        <v>2339</v>
      </c>
      <c r="D3" s="0" t="s">
        <v>2341</v>
      </c>
      <c r="E3" s="0" t="s">
        <v>2342</v>
      </c>
      <c r="F3" s="0" t="s">
        <v>2343</v>
      </c>
      <c r="G3" s="0" t="s">
        <v>111</v>
      </c>
    </row>
    <row customHeight="1" ht="11.25">
      <c r="A4" s="0" t="s">
        <v>16</v>
      </c>
      <c r="B4" s="0" t="s">
        <v>2338</v>
      </c>
      <c r="C4" s="0" t="s">
        <v>2339</v>
      </c>
      <c r="D4" s="0" t="s">
        <v>2344</v>
      </c>
      <c r="E4" s="0" t="s">
        <v>2345</v>
      </c>
      <c r="F4" s="0" t="s">
        <v>2343</v>
      </c>
      <c r="G4" s="0" t="s">
        <v>91</v>
      </c>
    </row>
    <row customHeight="1" ht="11.25">
      <c r="A5" s="0" t="s">
        <v>16</v>
      </c>
      <c r="B5" s="0" t="s">
        <v>2338</v>
      </c>
      <c r="C5" s="0" t="s">
        <v>2339</v>
      </c>
      <c r="D5" s="0" t="s">
        <v>2346</v>
      </c>
      <c r="E5" s="0" t="s">
        <v>2347</v>
      </c>
      <c r="F5" s="0" t="s">
        <v>2343</v>
      </c>
      <c r="G5" s="0" t="s">
        <v>92</v>
      </c>
    </row>
    <row customHeight="1" ht="11.25">
      <c r="A6" s="0" t="s">
        <v>16</v>
      </c>
      <c r="B6" s="0" t="s">
        <v>2338</v>
      </c>
      <c r="C6" s="0" t="s">
        <v>2339</v>
      </c>
      <c r="D6" s="0" t="s">
        <v>2348</v>
      </c>
      <c r="E6" s="0" t="s">
        <v>2349</v>
      </c>
      <c r="F6" s="0" t="s">
        <v>2343</v>
      </c>
      <c r="G6" s="0" t="s">
        <v>112</v>
      </c>
    </row>
    <row customHeight="1" ht="11.25">
      <c r="A7" s="0" t="s">
        <v>16</v>
      </c>
      <c r="B7" s="0" t="s">
        <v>2338</v>
      </c>
      <c r="C7" s="0" t="s">
        <v>2339</v>
      </c>
      <c r="D7" s="0" t="s">
        <v>2350</v>
      </c>
      <c r="E7" s="0" t="s">
        <v>2351</v>
      </c>
      <c r="F7" s="0" t="s">
        <v>2343</v>
      </c>
      <c r="G7" s="0" t="s">
        <v>93</v>
      </c>
    </row>
    <row customHeight="1" ht="11.25">
      <c r="A8" s="0" t="s">
        <v>16</v>
      </c>
      <c r="B8" s="0" t="s">
        <v>2338</v>
      </c>
      <c r="C8" s="0" t="s">
        <v>2339</v>
      </c>
      <c r="D8" s="0" t="s">
        <v>2352</v>
      </c>
      <c r="E8" s="0" t="s">
        <v>2353</v>
      </c>
      <c r="F8" s="0" t="s">
        <v>2343</v>
      </c>
      <c r="G8" s="0" t="s">
        <v>94</v>
      </c>
    </row>
    <row customHeight="1" ht="11.25">
      <c r="A9" s="0" t="s">
        <v>16</v>
      </c>
      <c r="B9" s="0" t="s">
        <v>2338</v>
      </c>
      <c r="C9" s="0" t="s">
        <v>2339</v>
      </c>
      <c r="D9" s="0" t="s">
        <v>2354</v>
      </c>
      <c r="E9" s="0" t="s">
        <v>2355</v>
      </c>
      <c r="F9" s="0" t="s">
        <v>2343</v>
      </c>
      <c r="G9" s="0" t="s">
        <v>113</v>
      </c>
    </row>
    <row customHeight="1" ht="11.25">
      <c r="A10" s="0" t="s">
        <v>16</v>
      </c>
      <c r="B10" s="0" t="s">
        <v>2338</v>
      </c>
      <c r="C10" s="0" t="s">
        <v>2339</v>
      </c>
      <c r="D10" s="0" t="s">
        <v>2356</v>
      </c>
      <c r="E10" s="0" t="s">
        <v>2357</v>
      </c>
      <c r="F10" s="0" t="s">
        <v>2358</v>
      </c>
      <c r="G10" s="0" t="s">
        <v>149</v>
      </c>
    </row>
    <row customHeight="1" ht="11.25">
      <c r="A11" s="0" t="s">
        <v>16</v>
      </c>
      <c r="B11" s="0" t="s">
        <v>2338</v>
      </c>
      <c r="C11" s="0" t="s">
        <v>2339</v>
      </c>
      <c r="D11" s="0" t="s">
        <v>2359</v>
      </c>
      <c r="E11" s="0" t="s">
        <v>2360</v>
      </c>
      <c r="F11" s="0" t="s">
        <v>2343</v>
      </c>
      <c r="G11" s="0" t="s">
        <v>150</v>
      </c>
    </row>
    <row customHeight="1" ht="11.25">
      <c r="A12" s="0" t="s">
        <v>16</v>
      </c>
      <c r="B12" s="0" t="s">
        <v>2338</v>
      </c>
      <c r="C12" s="0" t="s">
        <v>2339</v>
      </c>
      <c r="D12" s="0" t="s">
        <v>2361</v>
      </c>
      <c r="E12" s="0" t="s">
        <v>2362</v>
      </c>
      <c r="F12" s="0" t="s">
        <v>2343</v>
      </c>
      <c r="G12" s="0" t="s">
        <v>151</v>
      </c>
    </row>
    <row customHeight="1" ht="11.25">
      <c r="A13" s="0" t="s">
        <v>16</v>
      </c>
      <c r="B13" s="0" t="s">
        <v>2338</v>
      </c>
      <c r="C13" s="0" t="s">
        <v>2339</v>
      </c>
      <c r="D13" s="0" t="s">
        <v>2363</v>
      </c>
      <c r="E13" s="0" t="s">
        <v>2364</v>
      </c>
      <c r="F13" s="0" t="s">
        <v>2343</v>
      </c>
      <c r="G13" s="0" t="s">
        <v>152</v>
      </c>
    </row>
    <row customHeight="1" ht="11.25">
      <c r="A14" s="0" t="s">
        <v>16</v>
      </c>
      <c r="B14" s="0" t="s">
        <v>2338</v>
      </c>
      <c r="C14" s="0" t="s">
        <v>2339</v>
      </c>
      <c r="D14" s="0" t="s">
        <v>2365</v>
      </c>
      <c r="E14" s="0" t="s">
        <v>2366</v>
      </c>
      <c r="F14" s="0" t="s">
        <v>2343</v>
      </c>
      <c r="G14" s="0" t="s">
        <v>153</v>
      </c>
    </row>
    <row customHeight="1" ht="11.25">
      <c r="A15" s="0" t="s">
        <v>16</v>
      </c>
      <c r="B15" s="0" t="s">
        <v>2338</v>
      </c>
      <c r="C15" s="0" t="s">
        <v>2339</v>
      </c>
      <c r="D15" s="0" t="s">
        <v>2367</v>
      </c>
      <c r="E15" s="0" t="s">
        <v>2368</v>
      </c>
      <c r="F15" s="0" t="s">
        <v>2343</v>
      </c>
      <c r="G15" s="0" t="s">
        <v>154</v>
      </c>
    </row>
    <row customHeight="1" ht="11.25">
      <c r="A16" s="0" t="s">
        <v>16</v>
      </c>
      <c r="B16" s="0" t="s">
        <v>2338</v>
      </c>
      <c r="C16" s="0" t="s">
        <v>2339</v>
      </c>
      <c r="D16" s="0" t="s">
        <v>2369</v>
      </c>
      <c r="E16" s="0" t="s">
        <v>2370</v>
      </c>
      <c r="F16" s="0" t="s">
        <v>2371</v>
      </c>
      <c r="G16" s="0" t="s">
        <v>1472</v>
      </c>
    </row>
    <row customHeight="1" ht="11.25">
      <c r="A17" s="0" t="s">
        <v>16</v>
      </c>
      <c r="B17" s="0" t="s">
        <v>2338</v>
      </c>
      <c r="C17" s="0" t="s">
        <v>2339</v>
      </c>
      <c r="D17" s="0" t="s">
        <v>2372</v>
      </c>
      <c r="E17" s="0" t="s">
        <v>2373</v>
      </c>
      <c r="F17" s="0" t="s">
        <v>2343</v>
      </c>
      <c r="G17" s="0" t="s">
        <v>1478</v>
      </c>
    </row>
    <row customHeight="1" ht="11.25">
      <c r="A18" s="0" t="s">
        <v>16</v>
      </c>
      <c r="B18" s="0" t="s">
        <v>2338</v>
      </c>
      <c r="C18" s="0" t="s">
        <v>2339</v>
      </c>
      <c r="D18" s="0" t="s">
        <v>2374</v>
      </c>
      <c r="E18" s="0" t="s">
        <v>2375</v>
      </c>
      <c r="F18" s="0" t="s">
        <v>2343</v>
      </c>
      <c r="G18" s="0" t="s">
        <v>1490</v>
      </c>
    </row>
    <row customHeight="1" ht="11.25">
      <c r="A19" s="0" t="s">
        <v>16</v>
      </c>
      <c r="B19" s="0" t="s">
        <v>2338</v>
      </c>
      <c r="C19" s="0" t="s">
        <v>2339</v>
      </c>
      <c r="D19" s="0" t="s">
        <v>2376</v>
      </c>
      <c r="E19" s="0" t="s">
        <v>2377</v>
      </c>
      <c r="F19" s="0" t="s">
        <v>2343</v>
      </c>
      <c r="G19" s="0" t="s">
        <v>1504</v>
      </c>
    </row>
    <row customHeight="1" ht="11.25">
      <c r="A20" s="0" t="s">
        <v>16</v>
      </c>
      <c r="B20" s="0" t="s">
        <v>2338</v>
      </c>
      <c r="C20" s="0" t="s">
        <v>2339</v>
      </c>
      <c r="D20" s="0" t="s">
        <v>2378</v>
      </c>
      <c r="E20" s="0" t="s">
        <v>2379</v>
      </c>
      <c r="F20" s="0" t="s">
        <v>2343</v>
      </c>
      <c r="G20" s="0" t="s">
        <v>1516</v>
      </c>
    </row>
    <row customHeight="1" ht="11.25">
      <c r="A21" s="0" t="s">
        <v>16</v>
      </c>
      <c r="B21" s="0" t="s">
        <v>2338</v>
      </c>
      <c r="C21" s="0" t="s">
        <v>2339</v>
      </c>
      <c r="D21" s="0" t="s">
        <v>2380</v>
      </c>
      <c r="E21" s="0" t="s">
        <v>2381</v>
      </c>
      <c r="F21" s="0" t="s">
        <v>2343</v>
      </c>
      <c r="G21" s="0" t="s">
        <v>1525</v>
      </c>
    </row>
    <row customHeight="1" ht="11.25">
      <c r="A22" s="0" t="s">
        <v>16</v>
      </c>
      <c r="B22" s="0" t="s">
        <v>2338</v>
      </c>
      <c r="C22" s="0" t="s">
        <v>2339</v>
      </c>
      <c r="D22" s="0" t="s">
        <v>2382</v>
      </c>
      <c r="E22" s="0" t="s">
        <v>2383</v>
      </c>
      <c r="F22" s="0" t="s">
        <v>2343</v>
      </c>
      <c r="G22" s="0" t="s">
        <v>1541</v>
      </c>
    </row>
    <row customHeight="1" ht="11.25">
      <c r="A23" s="0" t="s">
        <v>16</v>
      </c>
      <c r="B23" s="0" t="s">
        <v>101</v>
      </c>
      <c r="C23" s="0" t="s">
        <v>102</v>
      </c>
      <c r="D23" s="0" t="s">
        <v>101</v>
      </c>
      <c r="E23" s="0" t="s">
        <v>102</v>
      </c>
      <c r="F23" s="0" t="s">
        <v>2384</v>
      </c>
      <c r="G23" s="0"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39509-A293-5B5B-9D3C-0.B34B528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6184" width="9.140625"/>
    <col min="2" max="2" style="6184" width="84.28125" customWidth="1"/>
    <col min="3" max="3" style="6184" width="9.140625"/>
  </cols>
  <sheetData>
    <row customHeight="1" ht="11.25">
      <c r="A1" s="899" t="s">
        <v>2414</v>
      </c>
      <c r="B1" s="899" t="s">
        <v>2415</v>
      </c>
      <c r="C1" s="899" t="s">
        <v>1174</v>
      </c>
    </row>
    <row customHeight="1" ht="11.25">
      <c r="A2" s="899">
        <v>4189678</v>
      </c>
      <c r="B2" s="899" t="s">
        <v>2416</v>
      </c>
      <c r="C2" s="899" t="s">
        <v>2417</v>
      </c>
    </row>
    <row customHeight="1" ht="11.25">
      <c r="A3" s="899">
        <v>4190415</v>
      </c>
      <c r="B3" s="899" t="s">
        <v>2418</v>
      </c>
      <c r="C3" s="899" t="s">
        <v>2417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65CCE-4C06-3C1E-7FEB-0.8E7D795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6178" width="38.421875" customWidth="1"/>
    <col min="2" max="5" style="6178" width="9.140625"/>
  </cols>
  <sheetData>
    <row customHeight="1" ht="15">
      <c r="A1" s="227" t="s">
        <v>2419</v>
      </c>
      <c r="B1" s="227" t="s">
        <v>2420</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73FCB-C7ED-F978-5C0C-0.FBFD713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2421</v>
      </c>
      <c r="B1" s="0" t="b">
        <v>1</v>
      </c>
    </row>
    <row customHeight="1" ht="11.25">
      <c r="A2" s="0" t="s">
        <v>2422</v>
      </c>
      <c r="B2" s="0" t="b">
        <v>0</v>
      </c>
    </row>
    <row customHeight="1" ht="11.25">
      <c r="A3" s="0" t="s">
        <v>2423</v>
      </c>
      <c r="B3" s="0" t="b">
        <v>0</v>
      </c>
    </row>
    <row customHeight="1" ht="11.25">
      <c r="A4" s="0" t="s">
        <v>2424</v>
      </c>
      <c r="B4" s="0" t="b">
        <v>0</v>
      </c>
    </row>
    <row customHeight="1" ht="11.25">
      <c r="A5" s="0" t="s">
        <v>2425</v>
      </c>
      <c r="B5" s="0" t="b">
        <v>0</v>
      </c>
    </row>
    <row customHeight="1" ht="11.25">
      <c r="A6" s="0" t="s">
        <v>2426</v>
      </c>
      <c r="B6" s="0" t="b">
        <v>1</v>
      </c>
    </row>
    <row customHeight="1" ht="11.25">
      <c r="A7" s="0" t="s">
        <v>2427</v>
      </c>
      <c r="B7" s="0" t="b">
        <v>0</v>
      </c>
    </row>
    <row customHeight="1" ht="11.25">
      <c r="A8" s="0" t="s">
        <v>2428</v>
      </c>
      <c r="B8" s="0" t="b">
        <v>0</v>
      </c>
    </row>
    <row customHeight="1" ht="11.25">
      <c r="A9" s="0" t="s">
        <v>2429</v>
      </c>
      <c r="B9" s="0" t="b">
        <v>1</v>
      </c>
    </row>
    <row customHeight="1" ht="11.25">
      <c r="A10" s="0" t="s">
        <v>2430</v>
      </c>
      <c r="B10" s="0" t="b">
        <v>0</v>
      </c>
    </row>
    <row customHeight="1" ht="11.25">
      <c r="A11" s="0" t="s">
        <v>2431</v>
      </c>
      <c r="B11" s="0" t="b">
        <v>0</v>
      </c>
    </row>
    <row customHeight="1" ht="11.25">
      <c r="A12" s="0" t="s">
        <v>2432</v>
      </c>
      <c r="B12" s="0" t="b">
        <v>0</v>
      </c>
    </row>
    <row customHeight="1" ht="11.25">
      <c r="A13" s="0" t="s">
        <v>2433</v>
      </c>
      <c r="B13" s="0" t="b">
        <v>0</v>
      </c>
    </row>
    <row customHeight="1" ht="11.25">
      <c r="A14" s="0" t="s">
        <v>2434</v>
      </c>
      <c r="B14" s="0" t="b">
        <v>0</v>
      </c>
    </row>
    <row customHeight="1" ht="11.25">
      <c r="A15" s="0" t="s">
        <v>2435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34A04-5C85-15BE-12C6-0.746AE1F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6179"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E6DB8-FD58-7651-8965-0.D72B9F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188" width="36.28125" customWidth="1"/>
    <col min="2" max="2" style="6188" width="21.140625" customWidth="1"/>
  </cols>
  <sheetData>
    <row customHeight="1" ht="11.25">
      <c r="A1" s="131" t="s">
        <v>2436</v>
      </c>
      <c r="B1" s="131" t="s">
        <v>2437</v>
      </c>
    </row>
    <row customHeight="1" ht="11.25">
      <c r="A2" s="126" t="s">
        <v>2438</v>
      </c>
      <c r="B2" s="126" t="s">
        <v>2439</v>
      </c>
    </row>
    <row customHeight="1" ht="11.25">
      <c r="A3" s="126" t="s">
        <v>2440</v>
      </c>
      <c r="B3" s="126" t="s">
        <v>2441</v>
      </c>
    </row>
    <row customHeight="1" ht="11.25">
      <c r="A4" s="126" t="s">
        <v>2442</v>
      </c>
      <c r="B4" s="126" t="s">
        <v>2443</v>
      </c>
    </row>
    <row customHeight="1" ht="11.25">
      <c r="A5" s="126" t="s">
        <v>2444</v>
      </c>
      <c r="B5" s="126" t="s">
        <v>2445</v>
      </c>
    </row>
    <row customHeight="1" ht="11.25">
      <c r="A6" s="126" t="s">
        <v>2446</v>
      </c>
      <c r="B6" s="126" t="s">
        <v>2447</v>
      </c>
    </row>
    <row customHeight="1" ht="11.25">
      <c r="A7" s="126" t="s">
        <v>2448</v>
      </c>
      <c r="B7" s="126" t="s">
        <v>2449</v>
      </c>
    </row>
    <row customHeight="1" ht="11.25">
      <c r="A8" s="126" t="s">
        <v>2450</v>
      </c>
      <c r="B8" s="126" t="s">
        <v>2451</v>
      </c>
    </row>
    <row customHeight="1" ht="11.25">
      <c r="A9" s="126" t="s">
        <v>2452</v>
      </c>
      <c r="B9" s="126" t="s">
        <v>2453</v>
      </c>
    </row>
    <row customHeight="1" ht="11.25">
      <c r="A10" s="126" t="s">
        <v>2454</v>
      </c>
      <c r="B10" s="126" t="s">
        <v>2455</v>
      </c>
    </row>
    <row customHeight="1" ht="11.25">
      <c r="A11" s="126" t="s">
        <v>2456</v>
      </c>
      <c r="B11" s="126" t="s">
        <v>2457</v>
      </c>
    </row>
    <row customHeight="1" ht="11.25">
      <c r="A12" s="126" t="s">
        <v>2458</v>
      </c>
      <c r="B12" s="126" t="s">
        <v>2459</v>
      </c>
    </row>
    <row customHeight="1" ht="11.25">
      <c r="A13" s="126" t="s">
        <v>2460</v>
      </c>
      <c r="B13" s="126" t="s">
        <v>2461</v>
      </c>
    </row>
    <row customHeight="1" ht="11.25">
      <c r="A14" s="126" t="s">
        <v>2462</v>
      </c>
      <c r="B14" s="126" t="s">
        <v>2463</v>
      </c>
    </row>
    <row customHeight="1" ht="11.25">
      <c r="A15" s="126" t="s">
        <v>2464</v>
      </c>
      <c r="B15" s="126" t="s">
        <v>2465</v>
      </c>
    </row>
    <row customHeight="1" ht="11.25">
      <c r="A16" s="126" t="s">
        <v>2466</v>
      </c>
      <c r="B16" s="126" t="s">
        <v>2467</v>
      </c>
    </row>
    <row customHeight="1" ht="11.25">
      <c r="A17" s="126" t="s">
        <v>2468</v>
      </c>
      <c r="B17" s="126" t="s">
        <v>2469</v>
      </c>
    </row>
    <row customHeight="1" ht="11.25">
      <c r="A18" s="126" t="s">
        <v>2470</v>
      </c>
      <c r="B18" s="126" t="s">
        <v>2471</v>
      </c>
    </row>
    <row customHeight="1" ht="11.25">
      <c r="A19" s="126" t="s">
        <v>2472</v>
      </c>
      <c r="B19" s="126" t="s">
        <v>2473</v>
      </c>
    </row>
    <row customHeight="1" ht="11.25">
      <c r="A20" s="126" t="s">
        <v>2474</v>
      </c>
      <c r="B20" s="126" t="s">
        <v>2475</v>
      </c>
    </row>
    <row customHeight="1" ht="11.25">
      <c r="A21" s="126" t="s">
        <v>2476</v>
      </c>
      <c r="B21" s="126" t="s">
        <v>2477</v>
      </c>
    </row>
    <row customHeight="1" ht="11.25">
      <c r="A22" s="126" t="s">
        <v>2478</v>
      </c>
      <c r="B22" s="126" t="s">
        <v>2479</v>
      </c>
    </row>
    <row customHeight="1" ht="11.25">
      <c r="A23" s="126" t="s">
        <v>2480</v>
      </c>
      <c r="B23" s="126" t="s">
        <v>2481</v>
      </c>
    </row>
    <row customHeight="1" ht="11.25">
      <c r="A24" s="126" t="s">
        <v>2482</v>
      </c>
      <c r="B24" s="126" t="s">
        <v>2483</v>
      </c>
    </row>
    <row customHeight="1" ht="11.25">
      <c r="A25" s="126" t="s">
        <v>2484</v>
      </c>
      <c r="B25" s="126" t="s">
        <v>2485</v>
      </c>
    </row>
    <row customHeight="1" ht="11.25">
      <c r="A26" s="126" t="s">
        <v>2486</v>
      </c>
      <c r="B26" s="126" t="s">
        <v>2487</v>
      </c>
    </row>
    <row customHeight="1" ht="11.25">
      <c r="A27" s="126" t="s">
        <v>2488</v>
      </c>
      <c r="B27" s="126" t="s">
        <v>2489</v>
      </c>
    </row>
    <row customHeight="1" ht="11.25">
      <c r="A28" s="126" t="s">
        <v>2490</v>
      </c>
      <c r="B28" s="126" t="s">
        <v>2491</v>
      </c>
    </row>
    <row customHeight="1" ht="11.25">
      <c r="A29" s="126" t="s">
        <v>2492</v>
      </c>
      <c r="B29" s="126" t="s">
        <v>2493</v>
      </c>
    </row>
    <row customHeight="1" ht="11.25">
      <c r="A30" s="126" t="s">
        <v>2494</v>
      </c>
      <c r="B30" s="126" t="s">
        <v>2495</v>
      </c>
    </row>
    <row customHeight="1" ht="11.25">
      <c r="A31" s="126" t="s">
        <v>2496</v>
      </c>
      <c r="B31" s="126" t="s">
        <v>2497</v>
      </c>
    </row>
    <row customHeight="1" ht="11.25">
      <c r="A32" s="126" t="s">
        <v>2498</v>
      </c>
      <c r="B32" s="126" t="s">
        <v>2499</v>
      </c>
    </row>
    <row customHeight="1" ht="11.25">
      <c r="A33" s="126" t="s">
        <v>2500</v>
      </c>
      <c r="B33" s="126" t="s">
        <v>2501</v>
      </c>
    </row>
    <row customHeight="1" ht="11.25">
      <c r="A34" s="126" t="s">
        <v>2502</v>
      </c>
      <c r="B34" s="126" t="s">
        <v>2503</v>
      </c>
    </row>
    <row customHeight="1" ht="11.25">
      <c r="A35" s="126" t="s">
        <v>2504</v>
      </c>
      <c r="B35" s="126" t="s">
        <v>2505</v>
      </c>
    </row>
    <row customHeight="1" ht="11.25">
      <c r="A36" s="126" t="s">
        <v>2506</v>
      </c>
      <c r="B36" s="126" t="s">
        <v>2507</v>
      </c>
    </row>
    <row customHeight="1" ht="11.25">
      <c r="A37" s="126" t="s">
        <v>2508</v>
      </c>
      <c r="B37" s="126" t="s">
        <v>2509</v>
      </c>
    </row>
    <row customHeight="1" ht="11.25">
      <c r="A38" s="126" t="s">
        <v>2510</v>
      </c>
      <c r="B38" s="126" t="s">
        <v>2511</v>
      </c>
    </row>
    <row customHeight="1" ht="11.25">
      <c r="A39" s="126" t="s">
        <v>2512</v>
      </c>
      <c r="B39" s="126" t="s">
        <v>2513</v>
      </c>
    </row>
    <row customHeight="1" ht="11.25">
      <c r="A40" s="126" t="s">
        <v>2514</v>
      </c>
      <c r="B40" s="126" t="s">
        <v>2515</v>
      </c>
    </row>
    <row customHeight="1" ht="11.25">
      <c r="A41" s="126" t="s">
        <v>2516</v>
      </c>
      <c r="B41" s="126" t="s">
        <v>2517</v>
      </c>
    </row>
    <row customHeight="1" ht="11.25">
      <c r="A42" s="126" t="s">
        <v>2518</v>
      </c>
      <c r="B42" s="126" t="s">
        <v>2519</v>
      </c>
    </row>
    <row customHeight="1" ht="11.25">
      <c r="A43" s="126" t="s">
        <v>2520</v>
      </c>
      <c r="B43" s="126" t="s">
        <v>2521</v>
      </c>
    </row>
    <row customHeight="1" ht="11.25">
      <c r="A44" s="126" t="s">
        <v>2522</v>
      </c>
      <c r="B44" s="126" t="s">
        <v>2523</v>
      </c>
    </row>
    <row customHeight="1" ht="11.25">
      <c r="A45" s="126" t="s">
        <v>2524</v>
      </c>
      <c r="B45" s="126" t="s">
        <v>2525</v>
      </c>
    </row>
    <row customHeight="1" ht="11.25">
      <c r="A46" s="126" t="s">
        <v>2526</v>
      </c>
      <c r="B46" s="126" t="s">
        <v>2527</v>
      </c>
    </row>
    <row customHeight="1" ht="11.25">
      <c r="A47" s="126" t="s">
        <v>2528</v>
      </c>
      <c r="B47" s="126" t="s">
        <v>2529</v>
      </c>
    </row>
    <row customHeight="1" ht="11.25">
      <c r="A48" s="126" t="s">
        <v>2530</v>
      </c>
      <c r="B48" s="126" t="s">
        <v>2531</v>
      </c>
    </row>
    <row customHeight="1" ht="11.25">
      <c r="A49" s="126" t="s">
        <v>2532</v>
      </c>
      <c r="B49" s="126" t="s">
        <v>2533</v>
      </c>
    </row>
    <row customHeight="1" ht="11.25">
      <c r="A50" s="126" t="s">
        <v>2534</v>
      </c>
      <c r="B50" s="126" t="s">
        <v>2535</v>
      </c>
    </row>
    <row customHeight="1" ht="11.25">
      <c r="A51" s="126" t="s">
        <v>2536</v>
      </c>
      <c r="B51" s="126" t="s">
        <v>2537</v>
      </c>
    </row>
    <row customHeight="1" ht="11.25">
      <c r="A52" s="126" t="s">
        <v>2538</v>
      </c>
      <c r="B52" s="126" t="s">
        <v>2539</v>
      </c>
    </row>
    <row customHeight="1" ht="11.25">
      <c r="A53" s="126" t="s">
        <v>2540</v>
      </c>
      <c r="B53" s="126" t="s">
        <v>2541</v>
      </c>
    </row>
    <row customHeight="1" ht="11.25">
      <c r="A54" s="126" t="s">
        <v>2542</v>
      </c>
      <c r="B54" s="126" t="s">
        <v>2543</v>
      </c>
    </row>
    <row customHeight="1" ht="11.25">
      <c r="A55" s="126" t="s">
        <v>2544</v>
      </c>
      <c r="B55" s="126" t="s">
        <v>2545</v>
      </c>
    </row>
    <row customHeight="1" ht="11.25">
      <c r="A56" s="126" t="s">
        <v>2546</v>
      </c>
      <c r="B56" s="126" t="s">
        <v>2547</v>
      </c>
    </row>
    <row customHeight="1" ht="11.25">
      <c r="A57" s="126" t="s">
        <v>2548</v>
      </c>
      <c r="B57" s="126" t="s">
        <v>2549</v>
      </c>
    </row>
    <row customHeight="1" ht="11.25">
      <c r="A58" s="126" t="s">
        <v>2550</v>
      </c>
      <c r="B58" s="126" t="s">
        <v>2551</v>
      </c>
    </row>
    <row customHeight="1" ht="11.25">
      <c r="A59" s="126" t="s">
        <v>2552</v>
      </c>
      <c r="B59" s="126" t="s">
        <v>2553</v>
      </c>
    </row>
    <row customHeight="1" ht="11.25">
      <c r="A60" s="126" t="s">
        <v>2554</v>
      </c>
      <c r="B60" s="126" t="s">
        <v>2555</v>
      </c>
    </row>
    <row customHeight="1" ht="11.25">
      <c r="A61" s="126"/>
      <c r="B61" s="126" t="s">
        <v>2556</v>
      </c>
    </row>
    <row customHeight="1" ht="11.25">
      <c r="A62" s="126"/>
      <c r="B62" s="126" t="s">
        <v>2557</v>
      </c>
    </row>
    <row customHeight="1" ht="11.25">
      <c r="A63" s="126"/>
      <c r="B63" s="126" t="s">
        <v>2558</v>
      </c>
    </row>
    <row customHeight="1" ht="11.25">
      <c r="A64" s="126"/>
      <c r="B64" s="126" t="s">
        <v>2559</v>
      </c>
    </row>
    <row customHeight="1" ht="11.25">
      <c r="A65" s="126"/>
      <c r="B65" s="126" t="s">
        <v>2560</v>
      </c>
    </row>
    <row customHeight="1" ht="11.25">
      <c r="A66" s="126"/>
      <c r="B66" s="126" t="s">
        <v>2561</v>
      </c>
    </row>
    <row customHeight="1" ht="11.25">
      <c r="A67" s="126"/>
      <c r="B67" s="126" t="s">
        <v>2562</v>
      </c>
    </row>
    <row customHeight="1" ht="11.25">
      <c r="A68" s="126"/>
      <c r="B68" s="126" t="s">
        <v>2563</v>
      </c>
    </row>
    <row customHeight="1" ht="11.25">
      <c r="A69" s="126"/>
      <c r="B69" s="126" t="s">
        <v>2564</v>
      </c>
    </row>
    <row customHeight="1" ht="11.25">
      <c r="A70" s="126"/>
      <c r="B70" s="126" t="s">
        <v>2565</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296D9-82B9-2D2A-B38E-0.737DBE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6188" width="3.7109375" customWidth="1"/>
    <col min="2" max="2" style="6188" width="90.7109375" customWidth="1"/>
    <col min="3" max="4" style="6188" width="9.140625"/>
  </cols>
  <sheetData>
    <row customHeight="1" ht="11.25">
      <c r="B1" s="157" t="s">
        <v>2566</v>
      </c>
    </row>
    <row customHeight="1" ht="90">
      <c r="B2" s="158" t="s">
        <v>2567</v>
      </c>
    </row>
    <row customHeight="1" ht="67.5">
      <c r="B3" s="158" t="s">
        <v>2568</v>
      </c>
    </row>
    <row customHeight="1" ht="33.75">
      <c r="B4" s="158" t="s">
        <v>2569</v>
      </c>
    </row>
    <row customHeight="1" ht="11.25">
      <c r="B5" s="158" t="s">
        <v>2570</v>
      </c>
    </row>
    <row customHeight="1" ht="22.5">
      <c r="B6" s="158" t="s">
        <v>2571</v>
      </c>
    </row>
    <row customHeight="1" ht="22.5">
      <c r="B7" s="158" t="s">
        <v>2572</v>
      </c>
    </row>
    <row customHeight="1" ht="22.5">
      <c r="B8" s="158" t="s">
        <v>2573</v>
      </c>
    </row>
    <row customHeight="1" ht="22.5">
      <c r="B9" s="158" t="s">
        <v>2574</v>
      </c>
    </row>
    <row customHeight="1" ht="56.25">
      <c r="B10" s="158" t="s">
        <v>2575</v>
      </c>
    </row>
    <row customHeight="1" ht="12.75">
      <c r="B11" s="223" t="s">
        <v>2576</v>
      </c>
    </row>
    <row customHeight="1" ht="11.25">
      <c r="B12" s="157" t="s">
        <v>2577</v>
      </c>
    </row>
    <row customHeight="1" ht="22.5">
      <c r="B13" s="158" t="s">
        <v>2578</v>
      </c>
    </row>
    <row customHeight="1" ht="67.5">
      <c r="B14" s="158" t="s">
        <v>2579</v>
      </c>
    </row>
    <row customHeight="1" ht="22.5">
      <c r="B15" s="158" t="s">
        <v>2580</v>
      </c>
    </row>
    <row customHeight="1" ht="11.25">
      <c r="B16" s="157" t="s">
        <v>2581</v>
      </c>
      <c r="D16" s="164"/>
    </row>
    <row customHeight="1" ht="33.75">
      <c r="B17" s="158" t="s">
        <v>2582</v>
      </c>
    </row>
    <row customHeight="1" ht="33.75">
      <c r="B18" s="158" t="s">
        <v>2583</v>
      </c>
    </row>
    <row customHeight="1" ht="11.25">
      <c r="B19" s="158" t="s">
        <v>2584</v>
      </c>
    </row>
    <row customHeight="1" ht="33.75">
      <c r="B20" s="158" t="s">
        <v>2585</v>
      </c>
    </row>
    <row customHeight="1" ht="11.25">
      <c r="B21" s="157" t="s">
        <v>2586</v>
      </c>
    </row>
    <row customHeight="1" ht="11.25">
      <c r="B22" s="158" t="s">
        <v>2587</v>
      </c>
    </row>
    <row r="24" customHeight="1" ht="22.5">
      <c r="B24" s="225" t="s">
        <v>2588</v>
      </c>
    </row>
    <row r="26" customHeight="1" ht="11.25">
      <c r="B26" s="157" t="s">
        <v>2589</v>
      </c>
    </row>
    <row customHeight="1" ht="22.5">
      <c r="B27" s="224" t="s">
        <v>400</v>
      </c>
    </row>
    <row customHeight="1" ht="56.25">
      <c r="B28" s="224" t="s">
        <v>2590</v>
      </c>
    </row>
    <row customHeight="1" ht="11.25">
      <c r="B29" s="274" t="s">
        <v>2591</v>
      </c>
    </row>
    <row customHeight="1" ht="22.5">
      <c r="B30" s="224" t="s">
        <v>2592</v>
      </c>
    </row>
    <row r="32" customHeight="1" ht="11.25">
      <c r="A32" s="252"/>
      <c r="B32" s="253" t="s">
        <v>2593</v>
      </c>
    </row>
    <row customHeight="1" ht="14.25">
      <c r="A33" s="254">
        <v>1</v>
      </c>
      <c r="B33" s="255" t="s">
        <v>2594</v>
      </c>
    </row>
    <row customHeight="1" ht="14.25">
      <c r="A34" s="254">
        <v>2</v>
      </c>
      <c r="B34" s="255" t="s">
        <v>2595</v>
      </c>
    </row>
    <row customHeight="1" ht="11.25">
      <c r="B35" s="253" t="s">
        <v>2596</v>
      </c>
    </row>
    <row customHeight="1" ht="11.25">
      <c r="B36" s="255" t="s">
        <v>2597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4D599-A3C7-04E5-138F-0.AF7BCAF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712" width="9.140625" hidden="1" customWidth="1"/>
    <col min="2" max="2" style="5468" width="9.140625" hidden="1" customWidth="1"/>
    <col min="3" max="3" style="5763" width="3.00390625" customWidth="1"/>
    <col min="4" max="4" style="5468" width="5.00390625" customWidth="1"/>
    <col min="5" max="5" style="5468" width="38.00390625" customWidth="1"/>
    <col min="6" max="7" style="5468" width="3.00390625" customWidth="1"/>
    <col min="8" max="8" style="5468" width="38.00390625" customWidth="1"/>
    <col min="9" max="9" style="5468" width="35.00390625" customWidth="1"/>
    <col min="10" max="10" style="5468" width="103.00390625" customWidth="1"/>
    <col min="11" max="11" style="3473" width="3.00390625" customWidth="1"/>
    <col min="12" max="14" style="4976" width="10.00390625" customWidth="1"/>
    <col min="15" max="15" style="4976" width="13.00390625" customWidth="1"/>
    <col min="16" max="16" style="4976" width="15.00390625" customWidth="1"/>
    <col min="17" max="17" style="4976" width="16.00390625" customWidth="1"/>
    <col min="18" max="21" style="4976" width="10.00390625" customWidth="1"/>
    <col min="22" max="22" style="5468" width="10.57421875" hidden="1"/>
  </cols>
  <sheetData>
    <row customHeight="1" ht="22.5" hidden="1">
      <c r="E1" s="476"/>
      <c r="F1" s="476"/>
      <c r="G1" s="476"/>
      <c r="H1" s="2281" t="s">
        <v>356</v>
      </c>
      <c r="I1" s="2281"/>
      <c r="V1" s="1671" t="s">
        <v>14</v>
      </c>
    </row>
    <row s="5468" customFormat="1" customHeight="1" ht="14.25" hidden="1">
      <c r="C2" s="1683"/>
      <c r="D2" s="2297" t="s">
        <v>110</v>
      </c>
      <c r="E2" s="2299"/>
      <c r="F2" s="1689"/>
      <c r="G2" s="1684" t="s">
        <v>110</v>
      </c>
      <c r="H2" s="1687"/>
      <c r="I2" s="1685"/>
      <c r="L2" s="1686"/>
      <c r="M2" s="1686"/>
      <c r="N2" s="1686"/>
      <c r="O2" s="1686" t="s">
        <v>386</v>
      </c>
      <c r="P2" s="1686"/>
      <c r="Q2" s="1686"/>
      <c r="R2" s="1688" t="s">
        <v>385</v>
      </c>
      <c r="S2" s="1688" t="s">
        <v>385</v>
      </c>
      <c r="T2" s="1686"/>
      <c r="U2" s="1686"/>
      <c r="V2" s="1682">
        <v>0</v>
      </c>
    </row>
    <row s="5468" customFormat="1" customHeight="1" ht="14.25" hidden="1">
      <c r="C3" s="1683"/>
      <c r="D3" s="2298"/>
      <c r="E3" s="2300"/>
      <c r="F3" s="469"/>
      <c r="G3" s="933"/>
      <c r="H3" s="933" t="s">
        <v>387</v>
      </c>
      <c r="I3" s="377"/>
      <c r="L3" s="1686"/>
      <c r="M3" s="1686"/>
      <c r="N3" s="1686"/>
      <c r="O3" s="1686"/>
      <c r="P3" s="1686"/>
      <c r="Q3" s="1686"/>
      <c r="R3" s="1688"/>
      <c r="S3" s="1688"/>
      <c r="T3" s="1686"/>
      <c r="U3" s="1686"/>
      <c r="V3" s="1682">
        <v>0</v>
      </c>
    </row>
    <row customHeight="1" ht="14.25" hidden="1">
      <c r="V4" s="1671">
        <v>0</v>
      </c>
    </row>
    <row s="3411" customFormat="1" customHeight="1" ht="5.25">
      <c r="C5" s="765"/>
      <c r="D5" s="766"/>
      <c r="E5" s="766"/>
      <c r="F5" s="766"/>
      <c r="G5" s="766"/>
      <c r="H5" s="766" t="s">
        <v>360</v>
      </c>
      <c r="I5" s="766"/>
      <c r="J5" s="766"/>
      <c r="L5" s="1678"/>
      <c r="M5" s="1678"/>
      <c r="N5" s="1678"/>
      <c r="O5" s="1678"/>
      <c r="P5" s="1678"/>
      <c r="Q5" s="1678"/>
      <c r="R5" s="1678"/>
      <c r="S5" s="1678"/>
      <c r="T5" s="1678"/>
      <c r="U5" s="1678"/>
      <c r="V5" s="1677">
        <v>5</v>
      </c>
    </row>
    <row customHeight="1" ht="29.25">
      <c r="C6" s="1580"/>
      <c r="D6" s="2301" t="s">
        <v>388</v>
      </c>
      <c r="E6" s="2301"/>
      <c r="F6" s="2301"/>
      <c r="G6" s="2301"/>
      <c r="H6" s="2301"/>
      <c r="I6" s="2301"/>
      <c r="J6" s="555"/>
      <c r="K6" s="1679"/>
      <c r="V6" s="1671">
        <v>28</v>
      </c>
    </row>
    <row customHeight="1" ht="18">
      <c r="C7" s="1580"/>
      <c r="D7" s="2240" t="str">
        <f>IF(org=0,"Не определено",org)</f>
        <v>Нарьян-Марское МУ ПОКиТС</v>
      </c>
      <c r="E7" s="2240"/>
      <c r="F7" s="2240"/>
      <c r="G7" s="2240"/>
      <c r="H7" s="2240"/>
      <c r="I7" s="2240"/>
      <c r="J7" s="555"/>
      <c r="K7" s="1679"/>
      <c r="V7" s="1671">
        <v>17</v>
      </c>
    </row>
    <row s="3426"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426"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304</v>
      </c>
      <c r="E10" s="2283"/>
      <c r="F10" s="2283"/>
      <c r="G10" s="2283"/>
      <c r="H10" s="2283"/>
      <c r="I10" s="2283"/>
      <c r="J10" s="2287" t="s">
        <v>305</v>
      </c>
      <c r="V10" s="1671">
        <v>14</v>
      </c>
    </row>
    <row customHeight="1" ht="27.299999999999997">
      <c r="C11" s="1580"/>
      <c r="D11" s="2191" t="s">
        <v>89</v>
      </c>
      <c r="E11" s="2287" t="s">
        <v>106</v>
      </c>
      <c r="F11" s="2256" t="s">
        <v>89</v>
      </c>
      <c r="G11" s="2257"/>
      <c r="H11" s="2239" t="s">
        <v>389</v>
      </c>
      <c r="I11" s="2239" t="s">
        <v>390</v>
      </c>
      <c r="J11" s="2287"/>
      <c r="V11" s="1671">
        <v>26</v>
      </c>
    </row>
    <row customHeight="1" ht="14.699999999999998">
      <c r="C12" s="1580"/>
      <c r="D12" s="2191"/>
      <c r="E12" s="2287"/>
      <c r="F12" s="2264"/>
      <c r="G12" s="2265"/>
      <c r="H12" s="2296"/>
      <c r="I12" s="2296"/>
      <c r="J12" s="2287"/>
      <c r="V12" s="1671">
        <v>14</v>
      </c>
    </row>
    <row s="3710" customFormat="1" customHeight="1" ht="11.25" hidden="1">
      <c r="C13" s="562"/>
      <c r="D13" s="563" t="s">
        <v>380</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110</v>
      </c>
      <c r="E14" s="2299"/>
      <c r="F14" s="1681"/>
      <c r="G14" s="1680" t="s">
        <v>110</v>
      </c>
      <c r="H14" s="1687"/>
      <c r="I14" s="1685"/>
      <c r="J14" s="2233" t="s">
        <v>391</v>
      </c>
      <c r="K14" s="1671"/>
      <c r="R14" s="564" t="s">
        <v>385</v>
      </c>
      <c r="S14" s="564" t="s">
        <v>385</v>
      </c>
      <c r="V14" s="1671">
        <v>14</v>
      </c>
    </row>
    <row customHeight="1" ht="14.699999999999998">
      <c r="A15" s="1671"/>
      <c r="C15" s="1580"/>
      <c r="D15" s="2298"/>
      <c r="E15" s="2300"/>
      <c r="F15" s="469"/>
      <c r="G15" s="933"/>
      <c r="H15" s="933" t="s">
        <v>387</v>
      </c>
      <c r="I15" s="377"/>
      <c r="J15" s="2234"/>
      <c r="K15" s="1671"/>
      <c r="R15" s="564"/>
      <c r="S15" s="564"/>
      <c r="V15" s="1671">
        <v>14</v>
      </c>
    </row>
    <row customHeight="1" ht="14.699999999999998">
      <c r="A16" s="1671"/>
      <c r="C16" s="1580"/>
      <c r="D16" s="469"/>
      <c r="E16" s="933" t="s">
        <v>122</v>
      </c>
      <c r="F16" s="377"/>
      <c r="G16" s="377"/>
      <c r="H16" s="470"/>
      <c r="I16" s="470"/>
      <c r="J16" s="2235"/>
      <c r="K16" s="1671"/>
      <c r="V16" s="1671">
        <v>14</v>
      </c>
    </row>
    <row customHeight="1" ht="14.699999999999998">
      <c r="K17" s="1671"/>
      <c r="V17" s="1671">
        <v>14</v>
      </c>
    </row>
    <row customHeight="1" ht="22.5" hidden="1">
      <c r="A18" s="1672" t="s">
        <v>83</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